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filterPrivacy="1" defaultThemeVersion="124226"/>
  <xr:revisionPtr revIDLastSave="0" documentId="13_ncr:1_{5494BD07-C3FC-4E63-A312-8050DD89A6F6}" xr6:coauthVersionLast="47" xr6:coauthVersionMax="47" xr10:uidLastSave="{00000000-0000-0000-0000-000000000000}"/>
  <bookViews>
    <workbookView xWindow="-120" yWindow="-120" windowWidth="29040" windowHeight="15840" tabRatio="603" activeTab="1" xr2:uid="{00000000-000D-0000-FFFF-FFFF00000000}"/>
  </bookViews>
  <sheets>
    <sheet name="Полная " sheetId="6" r:id="rId1"/>
    <sheet name="приложение" sheetId="9" r:id="rId2"/>
  </sheets>
  <definedNames>
    <definedName name="_xlnm.Print_Area" localSheetId="0">'Полная '!$A$1:$I$148</definedName>
    <definedName name="_xlnm.Print_Area" localSheetId="1">приложение!$A$1:$I$136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3" i="9" l="1"/>
  <c r="F132" i="9"/>
  <c r="I132" i="9" s="1"/>
  <c r="I131" i="9"/>
  <c r="H131" i="9"/>
  <c r="G131" i="9"/>
  <c r="F131" i="9"/>
  <c r="I130" i="9"/>
  <c r="G130" i="9"/>
  <c r="F130" i="9"/>
  <c r="H129" i="9"/>
  <c r="H134" i="9" s="1"/>
  <c r="G129" i="9"/>
  <c r="G134" i="9" s="1"/>
  <c r="F129" i="9"/>
  <c r="G126" i="9"/>
  <c r="I126" i="9" s="1"/>
  <c r="G125" i="9"/>
  <c r="I125" i="9" s="1"/>
  <c r="H124" i="9"/>
  <c r="F124" i="9"/>
  <c r="I123" i="9"/>
  <c r="H122" i="9"/>
  <c r="G122" i="9"/>
  <c r="F122" i="9"/>
  <c r="I122" i="9" s="1"/>
  <c r="I121" i="9"/>
  <c r="H120" i="9"/>
  <c r="G120" i="9"/>
  <c r="F120" i="9"/>
  <c r="G119" i="9"/>
  <c r="I119" i="9" s="1"/>
  <c r="H118" i="9"/>
  <c r="F118" i="9"/>
  <c r="F117" i="9"/>
  <c r="F115" i="9" s="1"/>
  <c r="F116" i="9"/>
  <c r="I116" i="9" s="1"/>
  <c r="H115" i="9"/>
  <c r="G115" i="9"/>
  <c r="F114" i="9"/>
  <c r="F111" i="9" s="1"/>
  <c r="I113" i="9"/>
  <c r="I112" i="9"/>
  <c r="H111" i="9"/>
  <c r="G111" i="9"/>
  <c r="I110" i="9"/>
  <c r="I109" i="9"/>
  <c r="G108" i="9"/>
  <c r="I108" i="9" s="1"/>
  <c r="H107" i="9"/>
  <c r="G107" i="9"/>
  <c r="F107" i="9"/>
  <c r="G106" i="9"/>
  <c r="G104" i="9" s="1"/>
  <c r="I104" i="9" s="1"/>
  <c r="I105" i="9"/>
  <c r="G105" i="9"/>
  <c r="F105" i="9"/>
  <c r="H104" i="9"/>
  <c r="F104" i="9"/>
  <c r="I103" i="9"/>
  <c r="I102" i="9"/>
  <c r="H102" i="9"/>
  <c r="F102" i="9"/>
  <c r="I101" i="9"/>
  <c r="I100" i="9"/>
  <c r="H100" i="9"/>
  <c r="F100" i="9"/>
  <c r="I99" i="9"/>
  <c r="I98" i="9"/>
  <c r="F97" i="9"/>
  <c r="I97" i="9" s="1"/>
  <c r="H96" i="9"/>
  <c r="G96" i="9"/>
  <c r="I96" i="9" s="1"/>
  <c r="F96" i="9"/>
  <c r="I95" i="9"/>
  <c r="G94" i="9"/>
  <c r="I94" i="9" s="1"/>
  <c r="F94" i="9"/>
  <c r="I93" i="9"/>
  <c r="G93" i="9"/>
  <c r="F93" i="9"/>
  <c r="G92" i="9"/>
  <c r="F92" i="9"/>
  <c r="I92" i="9" s="1"/>
  <c r="H91" i="9"/>
  <c r="G91" i="9"/>
  <c r="F91" i="9"/>
  <c r="I91" i="9" s="1"/>
  <c r="H88" i="9"/>
  <c r="I88" i="9" s="1"/>
  <c r="I87" i="9"/>
  <c r="I86" i="9" s="1"/>
  <c r="G86" i="9"/>
  <c r="F86" i="9"/>
  <c r="H85" i="9"/>
  <c r="I85" i="9" s="1"/>
  <c r="I83" i="9" s="1"/>
  <c r="I84" i="9"/>
  <c r="H83" i="9"/>
  <c r="G83" i="9"/>
  <c r="F83" i="9"/>
  <c r="I82" i="9"/>
  <c r="F82" i="9"/>
  <c r="I81" i="9"/>
  <c r="H80" i="9"/>
  <c r="G80" i="9"/>
  <c r="F80" i="9"/>
  <c r="I80" i="9" s="1"/>
  <c r="F79" i="9"/>
  <c r="F77" i="9" s="1"/>
  <c r="I78" i="9"/>
  <c r="H77" i="9"/>
  <c r="G77" i="9"/>
  <c r="I76" i="9"/>
  <c r="H75" i="9"/>
  <c r="F75" i="9"/>
  <c r="I73" i="9"/>
  <c r="G73" i="9"/>
  <c r="I71" i="9"/>
  <c r="I69" i="9" s="1"/>
  <c r="G71" i="9"/>
  <c r="G70" i="9"/>
  <c r="H69" i="9"/>
  <c r="G69" i="9"/>
  <c r="I68" i="9"/>
  <c r="H67" i="9"/>
  <c r="G67" i="9"/>
  <c r="F67" i="9"/>
  <c r="I66" i="9"/>
  <c r="I65" i="9"/>
  <c r="H65" i="9"/>
  <c r="G65" i="9"/>
  <c r="F65" i="9"/>
  <c r="I63" i="9"/>
  <c r="F63" i="9"/>
  <c r="I62" i="9"/>
  <c r="F62" i="9"/>
  <c r="I61" i="9"/>
  <c r="H61" i="9"/>
  <c r="G61" i="9"/>
  <c r="F61" i="9"/>
  <c r="I60" i="9"/>
  <c r="F60" i="9"/>
  <c r="I59" i="9"/>
  <c r="F59" i="9"/>
  <c r="I58" i="9"/>
  <c r="H58" i="9"/>
  <c r="G58" i="9"/>
  <c r="F58" i="9"/>
  <c r="I57" i="9"/>
  <c r="H57" i="9"/>
  <c r="G57" i="9"/>
  <c r="H56" i="9"/>
  <c r="H55" i="9" s="1"/>
  <c r="G56" i="9"/>
  <c r="I56" i="9" s="1"/>
  <c r="G55" i="9"/>
  <c r="F55" i="9"/>
  <c r="I54" i="9"/>
  <c r="F54" i="9"/>
  <c r="I53" i="9"/>
  <c r="F53" i="9"/>
  <c r="H52" i="9"/>
  <c r="G52" i="9"/>
  <c r="I52" i="9" s="1"/>
  <c r="F52" i="9"/>
  <c r="I51" i="9"/>
  <c r="F51" i="9"/>
  <c r="I50" i="9"/>
  <c r="F50" i="9"/>
  <c r="H49" i="9"/>
  <c r="G49" i="9"/>
  <c r="F49" i="9"/>
  <c r="G48" i="9"/>
  <c r="F48" i="9"/>
  <c r="I48" i="9" s="1"/>
  <c r="G47" i="9"/>
  <c r="I47" i="9" s="1"/>
  <c r="F47" i="9"/>
  <c r="H46" i="9"/>
  <c r="G46" i="9"/>
  <c r="G45" i="9"/>
  <c r="G44" i="9"/>
  <c r="I44" i="9" s="1"/>
  <c r="F44" i="9"/>
  <c r="G43" i="9"/>
  <c r="G39" i="9" s="1"/>
  <c r="G42" i="9"/>
  <c r="I42" i="9" s="1"/>
  <c r="F42" i="9"/>
  <c r="I40" i="9"/>
  <c r="F40" i="9"/>
  <c r="H39" i="9"/>
  <c r="F39" i="9"/>
  <c r="H38" i="9"/>
  <c r="F38" i="9"/>
  <c r="F37" i="9"/>
  <c r="G36" i="9"/>
  <c r="F36" i="9"/>
  <c r="I36" i="9" s="1"/>
  <c r="F35" i="9"/>
  <c r="G34" i="9"/>
  <c r="F34" i="9"/>
  <c r="I34" i="9" s="1"/>
  <c r="G32" i="9"/>
  <c r="I32" i="9" s="1"/>
  <c r="F32" i="9"/>
  <c r="H31" i="9"/>
  <c r="G31" i="9"/>
  <c r="F31" i="9"/>
  <c r="H30" i="9"/>
  <c r="F29" i="9"/>
  <c r="I28" i="9"/>
  <c r="G28" i="9"/>
  <c r="F28" i="9"/>
  <c r="F27" i="9"/>
  <c r="I26" i="9"/>
  <c r="G26" i="9"/>
  <c r="G22" i="9" s="1"/>
  <c r="F26" i="9"/>
  <c r="G24" i="9"/>
  <c r="F24" i="9"/>
  <c r="I24" i="9" s="1"/>
  <c r="H23" i="9"/>
  <c r="G23" i="9"/>
  <c r="F23" i="9"/>
  <c r="H22" i="9"/>
  <c r="F22" i="9"/>
  <c r="G20" i="9"/>
  <c r="I20" i="9" s="1"/>
  <c r="I18" i="9"/>
  <c r="I16" i="9"/>
  <c r="H15" i="9"/>
  <c r="G15" i="9"/>
  <c r="F15" i="9"/>
  <c r="I14" i="9"/>
  <c r="H14" i="9"/>
  <c r="G14" i="9"/>
  <c r="F14" i="9"/>
  <c r="F13" i="9"/>
  <c r="F12" i="9"/>
  <c r="I12" i="9" s="1"/>
  <c r="F11" i="9"/>
  <c r="I10" i="9"/>
  <c r="F10" i="9"/>
  <c r="H9" i="9"/>
  <c r="G9" i="9"/>
  <c r="F9" i="9"/>
  <c r="H8" i="9"/>
  <c r="G8" i="9"/>
  <c r="F8" i="9"/>
  <c r="G71" i="6"/>
  <c r="F127" i="9" l="1"/>
  <c r="I111" i="9"/>
  <c r="I115" i="9"/>
  <c r="I120" i="9"/>
  <c r="I129" i="9"/>
  <c r="I134" i="9" s="1"/>
  <c r="F134" i="9"/>
  <c r="H127" i="9"/>
  <c r="I77" i="9"/>
  <c r="I67" i="9"/>
  <c r="I49" i="9"/>
  <c r="I8" i="9"/>
  <c r="I22" i="9"/>
  <c r="H89" i="9"/>
  <c r="I55" i="9"/>
  <c r="G38" i="9"/>
  <c r="I38" i="9" s="1"/>
  <c r="F46" i="9"/>
  <c r="I46" i="9" s="1"/>
  <c r="I75" i="9"/>
  <c r="I79" i="9"/>
  <c r="I106" i="9"/>
  <c r="I107" i="9"/>
  <c r="I114" i="9"/>
  <c r="I117" i="9"/>
  <c r="F30" i="9"/>
  <c r="H86" i="9"/>
  <c r="G30" i="9"/>
  <c r="G118" i="9"/>
  <c r="G127" i="9" s="1"/>
  <c r="G124" i="9"/>
  <c r="I124" i="9" s="1"/>
  <c r="I118" i="9" l="1"/>
  <c r="H135" i="9"/>
  <c r="I30" i="9"/>
  <c r="G89" i="9"/>
  <c r="I127" i="9"/>
  <c r="G135" i="9"/>
  <c r="F89" i="9"/>
  <c r="I89" i="9" l="1"/>
  <c r="F135" i="9"/>
  <c r="I135" i="9" s="1"/>
  <c r="D138" i="6" l="1"/>
  <c r="G139" i="6"/>
  <c r="H87" i="6"/>
  <c r="G125" i="6"/>
  <c r="G124" i="6"/>
  <c r="G123" i="6"/>
  <c r="G69" i="6"/>
  <c r="G104" i="6"/>
  <c r="G103" i="6"/>
  <c r="G91" i="6"/>
  <c r="G90" i="6"/>
  <c r="G141" i="9" l="1"/>
  <c r="F141" i="9"/>
  <c r="G67" i="6"/>
  <c r="G40" i="6"/>
  <c r="G41" i="6"/>
  <c r="G42" i="6"/>
  <c r="G43" i="6"/>
  <c r="G26" i="6"/>
  <c r="H141" i="9" l="1"/>
  <c r="H140" i="9"/>
  <c r="D139" i="9"/>
  <c r="F140" i="9"/>
  <c r="D141" i="9"/>
  <c r="G140" i="9"/>
  <c r="G55" i="6"/>
  <c r="G54" i="6"/>
  <c r="G46" i="6"/>
  <c r="G45" i="6"/>
  <c r="I140" i="9" l="1"/>
  <c r="D140" i="9"/>
  <c r="E144" i="9" l="1"/>
  <c r="D148" i="9"/>
  <c r="D142" i="9"/>
  <c r="G120" i="6"/>
  <c r="F122" i="6"/>
  <c r="I124" i="6"/>
  <c r="H122" i="6"/>
  <c r="G122" i="6"/>
  <c r="I121" i="6"/>
  <c r="H120" i="6"/>
  <c r="F120" i="6"/>
  <c r="I119" i="6"/>
  <c r="H118" i="6"/>
  <c r="G118" i="6"/>
  <c r="F118" i="6"/>
  <c r="G117" i="6"/>
  <c r="G34" i="6"/>
  <c r="I122" i="6" l="1"/>
  <c r="I118" i="6"/>
  <c r="I120" i="6"/>
  <c r="I123" i="6"/>
  <c r="G106" i="6" l="1"/>
  <c r="G32" i="6"/>
  <c r="H116" i="6" l="1"/>
  <c r="F116" i="6"/>
  <c r="G116" i="6"/>
  <c r="I117" i="6"/>
  <c r="G128" i="6"/>
  <c r="H129" i="6"/>
  <c r="G129" i="6"/>
  <c r="I131" i="6"/>
  <c r="I108" i="6"/>
  <c r="I107" i="6"/>
  <c r="G105" i="6"/>
  <c r="H105" i="6"/>
  <c r="I116" i="6" l="1"/>
  <c r="F45" i="6"/>
  <c r="F40" i="6" l="1"/>
  <c r="G24" i="6"/>
  <c r="G18" i="6" l="1"/>
  <c r="G138" i="6" s="1"/>
  <c r="G12" i="6" l="1"/>
  <c r="G44" i="6" l="1"/>
  <c r="F32" i="6" l="1"/>
  <c r="F26" i="6"/>
  <c r="H55" i="6" l="1"/>
  <c r="H54" i="6"/>
  <c r="F128" i="6"/>
  <c r="F95" i="6" l="1"/>
  <c r="F90" i="6"/>
  <c r="H139" i="6"/>
  <c r="I85" i="6"/>
  <c r="I82" i="6"/>
  <c r="I79" i="6"/>
  <c r="F61" i="6" l="1"/>
  <c r="F60" i="6"/>
  <c r="F58" i="6"/>
  <c r="F57" i="6"/>
  <c r="F9" i="6"/>
  <c r="F11" i="6"/>
  <c r="F33" i="6"/>
  <c r="F35" i="6"/>
  <c r="F25" i="6"/>
  <c r="F27" i="6"/>
  <c r="F115" i="6" l="1"/>
  <c r="F112" i="6"/>
  <c r="G94" i="6" l="1"/>
  <c r="H94" i="6"/>
  <c r="F94" i="6"/>
  <c r="I97" i="6"/>
  <c r="I96" i="6"/>
  <c r="F91" i="6"/>
  <c r="F34" i="6" l="1"/>
  <c r="F24" i="6"/>
  <c r="F42" i="6" l="1"/>
  <c r="F38" i="6"/>
  <c r="F46" i="6"/>
  <c r="F52" i="6"/>
  <c r="F8" i="6"/>
  <c r="F51" i="6" l="1"/>
  <c r="F130" i="6"/>
  <c r="F129" i="6" s="1"/>
  <c r="I130" i="6" l="1"/>
  <c r="I128" i="6"/>
  <c r="H127" i="6"/>
  <c r="G127" i="6"/>
  <c r="F127" i="6"/>
  <c r="I115" i="6"/>
  <c r="F114" i="6"/>
  <c r="I114" i="6" s="1"/>
  <c r="H113" i="6"/>
  <c r="G113" i="6"/>
  <c r="I112" i="6"/>
  <c r="I111" i="6"/>
  <c r="I110" i="6"/>
  <c r="H109" i="6"/>
  <c r="G109" i="6"/>
  <c r="F109" i="6"/>
  <c r="I106" i="6"/>
  <c r="F105" i="6"/>
  <c r="I104" i="6"/>
  <c r="F103" i="6"/>
  <c r="I103" i="6" s="1"/>
  <c r="H102" i="6"/>
  <c r="G102" i="6"/>
  <c r="I101" i="6"/>
  <c r="H100" i="6"/>
  <c r="F100" i="6"/>
  <c r="I99" i="6"/>
  <c r="H98" i="6"/>
  <c r="F98" i="6"/>
  <c r="I95" i="6"/>
  <c r="I94" i="6"/>
  <c r="I93" i="6"/>
  <c r="G92" i="6"/>
  <c r="F92" i="6"/>
  <c r="F89" i="6"/>
  <c r="I90" i="6"/>
  <c r="H89" i="6"/>
  <c r="G89" i="6"/>
  <c r="F80" i="6"/>
  <c r="I80" i="6" s="1"/>
  <c r="H78" i="6"/>
  <c r="G78" i="6"/>
  <c r="F77" i="6"/>
  <c r="I77" i="6" s="1"/>
  <c r="I76" i="6"/>
  <c r="H75" i="6"/>
  <c r="G75" i="6"/>
  <c r="F75" i="6"/>
  <c r="I74" i="6"/>
  <c r="H73" i="6"/>
  <c r="F73" i="6"/>
  <c r="I71" i="6"/>
  <c r="I69" i="6"/>
  <c r="G68" i="6"/>
  <c r="H67" i="6"/>
  <c r="I66" i="6"/>
  <c r="H65" i="6"/>
  <c r="G65" i="6"/>
  <c r="F65" i="6"/>
  <c r="I64" i="6"/>
  <c r="H63" i="6"/>
  <c r="G63" i="6"/>
  <c r="F63" i="6"/>
  <c r="I61" i="6"/>
  <c r="I60" i="6"/>
  <c r="H59" i="6"/>
  <c r="G59" i="6"/>
  <c r="F59" i="6"/>
  <c r="I58" i="6"/>
  <c r="I57" i="6"/>
  <c r="H56" i="6"/>
  <c r="G56" i="6"/>
  <c r="F56" i="6"/>
  <c r="I55" i="6"/>
  <c r="I54" i="6"/>
  <c r="H53" i="6"/>
  <c r="G53" i="6"/>
  <c r="F53" i="6"/>
  <c r="F50" i="6"/>
  <c r="I51" i="6"/>
  <c r="H50" i="6"/>
  <c r="G50" i="6"/>
  <c r="F49" i="6"/>
  <c r="F48" i="6"/>
  <c r="I48" i="6" s="1"/>
  <c r="H47" i="6"/>
  <c r="G47" i="6"/>
  <c r="I46" i="6"/>
  <c r="I45" i="6"/>
  <c r="H44" i="6"/>
  <c r="F44" i="6"/>
  <c r="I42" i="6"/>
  <c r="I40" i="6"/>
  <c r="I38" i="6"/>
  <c r="H37" i="6"/>
  <c r="G37" i="6"/>
  <c r="F37" i="6"/>
  <c r="H36" i="6"/>
  <c r="G36" i="6"/>
  <c r="F36" i="6"/>
  <c r="I34" i="6"/>
  <c r="F29" i="6"/>
  <c r="I32" i="6"/>
  <c r="G30" i="6"/>
  <c r="G28" i="6" s="1"/>
  <c r="F30" i="6"/>
  <c r="H29" i="6"/>
  <c r="G29" i="6"/>
  <c r="H28" i="6"/>
  <c r="G22" i="6"/>
  <c r="F22" i="6"/>
  <c r="H21" i="6"/>
  <c r="G21" i="6"/>
  <c r="F21" i="6"/>
  <c r="H20" i="6"/>
  <c r="I18" i="6"/>
  <c r="I16" i="6"/>
  <c r="I14" i="6"/>
  <c r="H13" i="6"/>
  <c r="G13" i="6"/>
  <c r="F13" i="6"/>
  <c r="H12" i="6"/>
  <c r="F12" i="6"/>
  <c r="F10" i="6"/>
  <c r="F138" i="6" s="1"/>
  <c r="H7" i="6"/>
  <c r="G7" i="6"/>
  <c r="F7" i="6"/>
  <c r="H6" i="6"/>
  <c r="G6" i="6"/>
  <c r="F102" i="6" l="1"/>
  <c r="F125" i="6" s="1"/>
  <c r="I30" i="6"/>
  <c r="F47" i="6"/>
  <c r="I47" i="6" s="1"/>
  <c r="F113" i="6"/>
  <c r="I22" i="6"/>
  <c r="D137" i="6" s="1"/>
  <c r="F139" i="6"/>
  <c r="I75" i="6"/>
  <c r="F78" i="6"/>
  <c r="I78" i="6" s="1"/>
  <c r="G20" i="6"/>
  <c r="I98" i="6"/>
  <c r="I102" i="6"/>
  <c r="I53" i="6"/>
  <c r="I56" i="6"/>
  <c r="I36" i="6"/>
  <c r="I127" i="6"/>
  <c r="I89" i="6"/>
  <c r="I59" i="6"/>
  <c r="I63" i="6"/>
  <c r="I100" i="6"/>
  <c r="H125" i="6"/>
  <c r="I109" i="6"/>
  <c r="F132" i="6"/>
  <c r="G132" i="6"/>
  <c r="H132" i="6"/>
  <c r="I92" i="6"/>
  <c r="I105" i="6"/>
  <c r="I67" i="6"/>
  <c r="I65" i="6"/>
  <c r="I50" i="6"/>
  <c r="I44" i="6"/>
  <c r="I12" i="6"/>
  <c r="I10" i="6"/>
  <c r="F20" i="6"/>
  <c r="I24" i="6"/>
  <c r="I26" i="6"/>
  <c r="I129" i="6"/>
  <c r="F6" i="6"/>
  <c r="I6" i="6" s="1"/>
  <c r="I8" i="6"/>
  <c r="I49" i="6"/>
  <c r="I52" i="6"/>
  <c r="I91" i="6"/>
  <c r="F28" i="6"/>
  <c r="I28" i="6" s="1"/>
  <c r="I73" i="6"/>
  <c r="E142" i="6" l="1"/>
  <c r="I132" i="6"/>
  <c r="I113" i="6"/>
  <c r="I125" i="6" s="1"/>
  <c r="I20" i="6"/>
  <c r="H133" i="6"/>
  <c r="D146" i="6" l="1"/>
  <c r="G81" i="6"/>
  <c r="H86" i="6"/>
  <c r="F81" i="6"/>
  <c r="F84" i="6"/>
  <c r="G84" i="6"/>
  <c r="G87" i="6" s="1"/>
  <c r="H83" i="6"/>
  <c r="G133" i="6" l="1"/>
  <c r="I87" i="6"/>
  <c r="H81" i="6"/>
  <c r="I83" i="6"/>
  <c r="I81" i="6" s="1"/>
  <c r="H138" i="6"/>
  <c r="I138" i="6" s="1"/>
  <c r="F87" i="6"/>
  <c r="H84" i="6"/>
  <c r="I86" i="6"/>
  <c r="D139" i="6" s="1"/>
  <c r="F133" i="6" l="1"/>
  <c r="I133" i="6" s="1"/>
  <c r="D140" i="6"/>
  <c r="I84" i="6"/>
</calcChain>
</file>

<file path=xl/sharedStrings.xml><?xml version="1.0" encoding="utf-8"?>
<sst xmlns="http://schemas.openxmlformats.org/spreadsheetml/2006/main" count="691" uniqueCount="166">
  <si>
    <t>№ п/п</t>
  </si>
  <si>
    <t>Наименование мероприятия</t>
  </si>
  <si>
    <t>Срок исполнения годы</t>
  </si>
  <si>
    <t>Вводимая мощность, мест</t>
  </si>
  <si>
    <t>Раздел 1. «Строительство зданий образовательных учреждений»</t>
  </si>
  <si>
    <t>1.1</t>
  </si>
  <si>
    <t>Раздел 2. «Реконструкция (капитальный ремонт и оснащение инвентарем и оборудованием) зданий образовательных учреждений в целях открытия дополнительных дошкольных мест»</t>
  </si>
  <si>
    <t>2.1</t>
  </si>
  <si>
    <t>2.2</t>
  </si>
  <si>
    <t>2.3</t>
  </si>
  <si>
    <t>Всего по разделам 1-2</t>
  </si>
  <si>
    <t>Раздел 3. «Капитальный ремонт зданий образовательных учреждений»</t>
  </si>
  <si>
    <t>Всего по программе:</t>
  </si>
  <si>
    <t>обл</t>
  </si>
  <si>
    <t>Раздел 4. «Текущий и аварийный ремонт образовательных учреждений»</t>
  </si>
  <si>
    <t xml:space="preserve">Текущий и аварийный ремонт образовательных учреждений (в том числе ремонт помещений в рамках софинансирования регинальных проектов), приобретение оборудования и материалов для  проведения текущего и аварийного ремонта, определение технического состояния конструкций зданий образовательных учреждений </t>
  </si>
  <si>
    <t>2020-2022</t>
  </si>
  <si>
    <t>Капитальный ремонт здания ГБОУ СОШ с. Рождествено (443541, с. Рождествено, ул. Пацаева, д.1)</t>
  </si>
  <si>
    <t>Капитальный ремонт здания ГБОУ СОШ с. Сухая Вязовка (443520, с. Сухая Вязовка,
ул. Школьная, 31)</t>
  </si>
  <si>
    <t>2020-2021</t>
  </si>
  <si>
    <t xml:space="preserve">Капитальный ремонт структурного подразделения ГБОУ ООШ пос. Верхняя Подстепновка "Детский сад "Солнышко", расположенного по адресу: Самарская область, Волжский район,пос. Верхняя Подстепновка, ул. Дорожная, д. 17а </t>
  </si>
  <si>
    <t>Капитальный ремонт структурного подразделения ГБОУ СОШ с. Воскресенка "Детский сад"Рябинка" , расположенного по адресу: Самарская область, Волжский район,с. Воскресенка, ул. Крестьянская, д.85</t>
  </si>
  <si>
    <t>Капитальный ремонт структурного подразделения ГБОУ СОШ № 1 «ОЦ» п.г.т. Стройкерамика "Детский сад "Радуга", расположенного по адресу: Самарская область, Волжский район,п.г.т. Стройкерамика, ул. Дружбы, д. 13 А</t>
  </si>
  <si>
    <t>Капитальный ремонт структурного подразделения ГБОУ СОШ с. Черноречье "Детский сад "Ручеек" , расположенного по адресу: Самарская область, Волжский район,с.Черноречье, ул.Самарская, д. 25</t>
  </si>
  <si>
    <t>Капитальный ремонт здания ГБОУ СОШ «ОЦ» с. Лопатино (443535,  с. Лопатино, ул. Школьная, д. 1)</t>
  </si>
  <si>
    <t>Капитальный ремонт здания ГБОУ СОШ пос. Черновский (443538, п. Черновский, ул. Школьная, 14)</t>
  </si>
  <si>
    <t>Капитальный ремонт здания ГБОУ СОШ «ОЦ» п.г.т. Рощинский (443539,пгт.Рощинский)</t>
  </si>
  <si>
    <t>Исполнители</t>
  </si>
  <si>
    <t>Объем финансирования по годам, тыс. руб.</t>
  </si>
  <si>
    <t>МБУ "УГЖКХ"</t>
  </si>
  <si>
    <t>МБУ "Паритет"</t>
  </si>
  <si>
    <t>за счет средств федерального бюджета</t>
  </si>
  <si>
    <t>1.2</t>
  </si>
  <si>
    <t>за счет средств областного бюджета</t>
  </si>
  <si>
    <t>1.3</t>
  </si>
  <si>
    <t>за счет средств местного бюджета</t>
  </si>
  <si>
    <t>3.1</t>
  </si>
  <si>
    <t>3.2</t>
  </si>
  <si>
    <t>1.1.2</t>
  </si>
  <si>
    <t>1.1.1</t>
  </si>
  <si>
    <t>1.2.1</t>
  </si>
  <si>
    <t>1.3.1</t>
  </si>
  <si>
    <t>1.3.2</t>
  </si>
  <si>
    <t>1.3.3</t>
  </si>
  <si>
    <t>1.4</t>
  </si>
  <si>
    <t>1.4.1</t>
  </si>
  <si>
    <t>1.4.2</t>
  </si>
  <si>
    <t>1.4.3</t>
  </si>
  <si>
    <t xml:space="preserve">Всего </t>
  </si>
  <si>
    <t>1.5</t>
  </si>
  <si>
    <t>1.5.1</t>
  </si>
  <si>
    <t>1.5.2</t>
  </si>
  <si>
    <t>1.5.3</t>
  </si>
  <si>
    <t>2.2.1</t>
  </si>
  <si>
    <t>2.1.1</t>
  </si>
  <si>
    <t>2.3.1</t>
  </si>
  <si>
    <t>2.3.2</t>
  </si>
  <si>
    <t>2.4</t>
  </si>
  <si>
    <t>2.4.1</t>
  </si>
  <si>
    <t>3.1.1</t>
  </si>
  <si>
    <t>3.2.1</t>
  </si>
  <si>
    <t>3.3</t>
  </si>
  <si>
    <t>3.3.1</t>
  </si>
  <si>
    <t>3.4</t>
  </si>
  <si>
    <t>3.4.1</t>
  </si>
  <si>
    <t>Капитальный ремонт здания ГБОУ СОШ пос. Просвет (443526, п. Просвет,ул. Самарская, 4)</t>
  </si>
  <si>
    <t>3.5</t>
  </si>
  <si>
    <t>3.5.1</t>
  </si>
  <si>
    <t>3.6</t>
  </si>
  <si>
    <t>3.6.1</t>
  </si>
  <si>
    <t>Капитальный ремонт здания ГБОУ ООШ пос. Верхняя Подстепновка (443532, с. Верхняя Подстепновка,ул. Специалистов, 23)</t>
  </si>
  <si>
    <t>Всего по разделу 3</t>
  </si>
  <si>
    <t>3.7</t>
  </si>
  <si>
    <t>3.7.1</t>
  </si>
  <si>
    <t>4.1.</t>
  </si>
  <si>
    <t>4.1.1.</t>
  </si>
  <si>
    <t>Всего по разделу 4</t>
  </si>
  <si>
    <t>фед</t>
  </si>
  <si>
    <t>м</t>
  </si>
  <si>
    <t xml:space="preserve"> </t>
  </si>
  <si>
    <t>местный</t>
  </si>
  <si>
    <t xml:space="preserve"> Приложение 2       
к муниципальной Программе муниципального района Волжский Самарской области «Строительство, реконструкция и ремонт объектов образования на территории муниципального района Волжский Самарской области» на 2020-2022 годы        
</t>
  </si>
  <si>
    <t>3.1.2</t>
  </si>
  <si>
    <t>3.6.2</t>
  </si>
  <si>
    <t>3.8</t>
  </si>
  <si>
    <t>3.8.1</t>
  </si>
  <si>
    <t>3.8.2</t>
  </si>
  <si>
    <t>3.8.3</t>
  </si>
  <si>
    <t>2.5</t>
  </si>
  <si>
    <t>2.5.1</t>
  </si>
  <si>
    <t>2.5.2</t>
  </si>
  <si>
    <t>2.6</t>
  </si>
  <si>
    <t>2.6.1</t>
  </si>
  <si>
    <t>2.6.2</t>
  </si>
  <si>
    <t>1.6</t>
  </si>
  <si>
    <t>1.6.1</t>
  </si>
  <si>
    <t>1.6.2</t>
  </si>
  <si>
    <t>1.7</t>
  </si>
  <si>
    <t>1.7.1</t>
  </si>
  <si>
    <t>1.8</t>
  </si>
  <si>
    <t>1.8.1</t>
  </si>
  <si>
    <t>1.8.2</t>
  </si>
  <si>
    <t>Строительство детского сада на 250 мест в п.г.т. Смышляевка Волжского района Самарской области</t>
  </si>
  <si>
    <t>Оснащение в рамках реализации мероприятия по строительству детского сада на 150 мест в с. Курумоч м.р. Волжский</t>
  </si>
  <si>
    <t>Капитальный ремонт и оснащение помещений в здании СП "Детский сад" ГБОУ СОШ с. Рождествено по адресу: м.р. Волжский, с. Рождествено, ул. Шоссейная, д. 1 б</t>
  </si>
  <si>
    <t>Капитальный ремонт и оснащение помещений в здании СП "Детский сад "Рябинка" ГБОУ СОШ с. Воскресенка по адресу: м.р. Волжский, с. Воскресенка, ул. Крестьянская, д. 85</t>
  </si>
  <si>
    <t>1.7.2</t>
  </si>
  <si>
    <t>3.9.</t>
  </si>
  <si>
    <t>3.9.1.</t>
  </si>
  <si>
    <t>3.9.2.</t>
  </si>
  <si>
    <t>4.2.</t>
  </si>
  <si>
    <t>Текущий ремонт кабинетов образовательных учреждений</t>
  </si>
  <si>
    <t>4.2.1.</t>
  </si>
  <si>
    <t>Строительство и оснащение детского сада на 294 места (в том числе 63 места для детей ясельного возраста) в 6 очереди мкр. Южный город</t>
  </si>
  <si>
    <t>Строительство и оснащение "КОШЕЛЕВ-ПРОЕКТ" Детский сад А-16/2 на 350 мест по адресу: Самарская обл., р-н Волжский, пгт Смышляевка, городское поселение Смышляевка</t>
  </si>
  <si>
    <t>Строительство и оснащение "КОШЕЛЕВ-ПРОЕКТ" Детский сад А-16/3 на 350 мест по адресу: Самарская обл., р-н Волжский, пгт Смышляевка, городское поселение Смышляевка</t>
  </si>
  <si>
    <t>Строительство общеобразовательной школы на 1500 мест в составе общеобразовательного центра в пятой очереди застройки, расположенной по адресу: Самарская область, Волжский район, сельское поселение Лопатино, поселок Придорожный, микрорайон "Южный город"</t>
  </si>
  <si>
    <t>1.9</t>
  </si>
  <si>
    <t>1.9.1</t>
  </si>
  <si>
    <t>1.9.2</t>
  </si>
  <si>
    <t>Строительство общеобразовательной школы на 1500 мест в составе общеобразовательного центра в седьмой очереди застройки, расположенной по адресу: Самарская область, Волжский район, сельское поселение Лопатино, поселок Придорожный, микрорайон "Южный город"</t>
  </si>
  <si>
    <t>2021-2022</t>
  </si>
  <si>
    <t>1.10</t>
  </si>
  <si>
    <t>1.10.1</t>
  </si>
  <si>
    <t>1.10.2</t>
  </si>
  <si>
    <t>1.11</t>
  </si>
  <si>
    <t>1.11.1</t>
  </si>
  <si>
    <t>1.11.2</t>
  </si>
  <si>
    <t>Оснащение детского сада общеразвивающего вида на 300 мест с бассейном, трансформаторной подстанцией, котельной в составе общеобразовательного центра, расположенного по адресу: Самарская область, Волжский район, сельское поселение Лопатино, поселок Придорожный</t>
  </si>
  <si>
    <t>Оснащение детского сада общеразвивающего вида на 300 мест с бассейном в составе общеобразовательного центра, расположенного по адресу: Самарская область, Волжский район, сельское поселение Лопатино, поселок Придорожный</t>
  </si>
  <si>
    <t>Строительство детского сада на 250 мест (в том числе 40 мест для детей ясельного возраста) в п.г.т. Стройкерамика</t>
  </si>
  <si>
    <t>ВСЕГО по программе:</t>
  </si>
  <si>
    <t>всего</t>
  </si>
  <si>
    <t>ВСЕГО по программе обл.+фед.:</t>
  </si>
  <si>
    <t>Капитальный ремонт находящегося в муниципальной собственности здания ГБОУ СОШ "ОЦ "Южный город" корпус № 1 п. Придорожный Волжского района, п. Придорожный, Николаевский проспект, 50, а также благоустройство прилегающей территории</t>
  </si>
  <si>
    <t xml:space="preserve"> Приложение     
к постановлению Администрации муниципального района Волжский Самарской области                                                        №________________________от______________________
</t>
  </si>
  <si>
    <t>3.3.2</t>
  </si>
  <si>
    <t>3.3.3</t>
  </si>
  <si>
    <t>Ремонт и оснащениние спортивного зала ГБОУ ООШ с. Яблоновый Овраг (443522, с. Яблоновый Овраг , ул. Н.Наумова, д.86)</t>
  </si>
  <si>
    <t>2.7</t>
  </si>
  <si>
    <t>2.7.1</t>
  </si>
  <si>
    <t>2.7.2</t>
  </si>
  <si>
    <t>2.8</t>
  </si>
  <si>
    <t>2.8.1</t>
  </si>
  <si>
    <t>2.8.2</t>
  </si>
  <si>
    <t>Строительство  и оснащение детского сада № 9 общеразвивающего вида на 300 мест с бассейном, трансформаторная подстанция, котельная, расположенные по адресу: Самарская область, Волжский район, сельское поселение Лопатино, поселок Придорожный, микрорайон «Южный город»</t>
  </si>
  <si>
    <t>3.7.2</t>
  </si>
  <si>
    <t>3.7.3</t>
  </si>
  <si>
    <t>4.2.2.</t>
  </si>
  <si>
    <t>3.10</t>
  </si>
  <si>
    <t>3.10.1</t>
  </si>
  <si>
    <t xml:space="preserve">за счет средств местного бюджета </t>
  </si>
  <si>
    <t>Капитальный ремонт спортивного зала ГБОУ ООШ №2 п.г.т.Смышляевка( 443548, п.г.т. Смышляевка, ул. Ново-Садовая, 9а)</t>
  </si>
  <si>
    <t>3.11</t>
  </si>
  <si>
    <t>3.11.1</t>
  </si>
  <si>
    <t>Капитальный ремонт ГБОУ СОШ "ОЦ" с.п.Подъем-Михайловка ( с.п.Подъем-Михайловка, ул.Советская, 78)</t>
  </si>
  <si>
    <t>3.12</t>
  </si>
  <si>
    <t>Капитальный ремонт ГБОУ СОШ «ОЦ» с. Курумоч (с. Курумоч, пр. Ленина, д. 1)</t>
  </si>
  <si>
    <t>3.12.1</t>
  </si>
  <si>
    <t>3.13</t>
  </si>
  <si>
    <t>Капитальный ремонт ГБОУ ООШ с. Спиридоновка                                            (с. Спиридоновка, ул. Школьная, д. 1)</t>
  </si>
  <si>
    <t>3.13.1</t>
  </si>
  <si>
    <t>3.13.2</t>
  </si>
  <si>
    <t>Капитальный ремонт здания структурного поздазделения "Детский сад "Белочка" ГБОУ СОШ с.Курумоч А.И. Кузнецова по адресу: Самарская область, Волжский район,с.Курумоч, пр. Ленина, д.10"</t>
  </si>
  <si>
    <t>Капитальный ремонт здания структурного поздазделения "Детский сад "Белочка" ГБОУ СОШ с.Курумоч А.И. Кузнецова  по адресу: Самарская область, Волжский район,с.Курумоч, пр. Жигулевская, д.1а"</t>
  </si>
  <si>
    <t>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</si>
</sst>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#,##0.00000"/>
    <numFmt numFmtId="166" formatCode="_-* #,##0.00000_р_._-;\-* #,##0.00000_р_._-;_-* &quot;-&quot;??_р_._-;_-@_-"/>
    <numFmt numFmtId="167" formatCode="0.000000"/>
    <numFmt numFmtId="168" formatCode="0.00000"/>
    <numFmt numFmtId="169" formatCode="#,##0.00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164" fontId="18" fillId="0" borderId="0" applyFont="0" applyFill="0" applyBorder="0" applyAlignment="0" applyProtection="0"/>
  </cellStyleXfs>
  <cellXfs count="99">
    <xf numFmtId="0" fontId="0" fillId="0" borderId="0" xfId="0"/>
    <xf numFmtId="165" fontId="19" fillId="33" borderId="1" xfId="0" applyNumberFormat="1" applyFont="1" applyFill="1" applyBorder="1" applyAlignment="1">
      <alignment horizontal="center" vertical="center" wrapText="1"/>
    </xf>
    <xf numFmtId="0" fontId="21" fillId="34" borderId="0" xfId="0" applyFont="1" applyFill="1"/>
    <xf numFmtId="0" fontId="21" fillId="34" borderId="0" xfId="0" applyFont="1" applyFill="1" applyAlignment="1">
      <alignment horizontal="center" vertical="center"/>
    </xf>
    <xf numFmtId="166" fontId="21" fillId="34" borderId="0" xfId="43" applyNumberFormat="1" applyFont="1" applyFill="1"/>
    <xf numFmtId="165" fontId="21" fillId="34" borderId="0" xfId="0" applyNumberFormat="1" applyFont="1" applyFill="1"/>
    <xf numFmtId="165" fontId="21" fillId="34" borderId="0" xfId="0" applyNumberFormat="1" applyFont="1" applyFill="1" applyAlignment="1">
      <alignment horizontal="center" vertical="center"/>
    </xf>
    <xf numFmtId="165" fontId="21" fillId="34" borderId="0" xfId="0" applyNumberFormat="1" applyFont="1" applyFill="1" applyAlignment="1">
      <alignment horizontal="center"/>
    </xf>
    <xf numFmtId="0" fontId="20" fillId="34" borderId="1" xfId="0" applyFont="1" applyFill="1" applyBorder="1" applyAlignment="1">
      <alignment horizontal="center" vertical="center" wrapText="1"/>
    </xf>
    <xf numFmtId="165" fontId="20" fillId="34" borderId="1" xfId="0" applyNumberFormat="1" applyFont="1" applyFill="1" applyBorder="1" applyAlignment="1">
      <alignment horizontal="center" vertical="center" wrapText="1"/>
    </xf>
    <xf numFmtId="0" fontId="23" fillId="34" borderId="1" xfId="0" applyFont="1" applyFill="1" applyBorder="1" applyAlignment="1">
      <alignment horizontal="left" vertical="center" wrapText="1"/>
    </xf>
    <xf numFmtId="0" fontId="20" fillId="34" borderId="1" xfId="0" applyFont="1" applyFill="1" applyBorder="1" applyAlignment="1">
      <alignment horizontal="left" vertical="center" wrapText="1"/>
    </xf>
    <xf numFmtId="0" fontId="19" fillId="34" borderId="11" xfId="0" applyFont="1" applyFill="1" applyBorder="1" applyAlignment="1">
      <alignment vertical="center" wrapText="1"/>
    </xf>
    <xf numFmtId="0" fontId="21" fillId="34" borderId="0" xfId="0" applyFont="1" applyFill="1" applyAlignment="1">
      <alignment horizontal="right" vertical="center"/>
    </xf>
    <xf numFmtId="49" fontId="19" fillId="34" borderId="1" xfId="0" applyNumberFormat="1" applyFont="1" applyFill="1" applyBorder="1" applyAlignment="1">
      <alignment horizontal="center" vertical="center" wrapText="1"/>
    </xf>
    <xf numFmtId="165" fontId="19" fillId="34" borderId="1" xfId="0" applyNumberFormat="1" applyFont="1" applyFill="1" applyBorder="1" applyAlignment="1">
      <alignment horizontal="center" vertical="center" wrapText="1"/>
    </xf>
    <xf numFmtId="165" fontId="22" fillId="34" borderId="0" xfId="0" applyNumberFormat="1" applyFont="1" applyFill="1" applyBorder="1" applyAlignment="1">
      <alignment horizontal="center"/>
    </xf>
    <xf numFmtId="0" fontId="21" fillId="33" borderId="0" xfId="0" applyFont="1" applyFill="1"/>
    <xf numFmtId="0" fontId="19" fillId="33" borderId="1" xfId="0" applyFont="1" applyFill="1" applyBorder="1" applyAlignment="1">
      <alignment horizontal="center" vertical="center" wrapText="1"/>
    </xf>
    <xf numFmtId="165" fontId="22" fillId="34" borderId="1" xfId="0" applyNumberFormat="1" applyFont="1" applyFill="1" applyBorder="1" applyAlignment="1">
      <alignment horizontal="center"/>
    </xf>
    <xf numFmtId="0" fontId="20" fillId="33" borderId="1" xfId="0" applyFont="1" applyFill="1" applyBorder="1" applyAlignment="1">
      <alignment horizontal="center" vertical="center" wrapText="1"/>
    </xf>
    <xf numFmtId="165" fontId="20" fillId="33" borderId="1" xfId="0" applyNumberFormat="1" applyFont="1" applyFill="1" applyBorder="1" applyAlignment="1">
      <alignment horizontal="center" vertical="center" wrapText="1"/>
    </xf>
    <xf numFmtId="165" fontId="22" fillId="34" borderId="1" xfId="0" applyNumberFormat="1" applyFont="1" applyFill="1" applyBorder="1"/>
    <xf numFmtId="49" fontId="19" fillId="33" borderId="1" xfId="0" applyNumberFormat="1" applyFont="1" applyFill="1" applyBorder="1" applyAlignment="1">
      <alignment horizontal="center" vertical="center" wrapText="1"/>
    </xf>
    <xf numFmtId="0" fontId="20" fillId="33" borderId="1" xfId="0" applyFont="1" applyFill="1" applyBorder="1" applyAlignment="1">
      <alignment horizontal="left" vertical="center" wrapText="1"/>
    </xf>
    <xf numFmtId="0" fontId="19" fillId="33" borderId="1" xfId="0" applyFont="1" applyFill="1" applyBorder="1" applyAlignment="1">
      <alignment horizontal="left" vertical="center" wrapText="1"/>
    </xf>
    <xf numFmtId="0" fontId="21" fillId="34" borderId="0" xfId="0" applyFont="1" applyFill="1" applyAlignment="1">
      <alignment horizontal="center"/>
    </xf>
    <xf numFmtId="165" fontId="20" fillId="34" borderId="11" xfId="0" applyNumberFormat="1" applyFont="1" applyFill="1" applyBorder="1" applyAlignment="1">
      <alignment horizontal="center" vertical="center" wrapText="1"/>
    </xf>
    <xf numFmtId="0" fontId="21" fillId="34" borderId="1" xfId="0" applyFont="1" applyFill="1" applyBorder="1" applyAlignment="1">
      <alignment horizontal="center" vertical="center"/>
    </xf>
    <xf numFmtId="0" fontId="19" fillId="34" borderId="1" xfId="0" applyFont="1" applyFill="1" applyBorder="1" applyAlignment="1">
      <alignment horizontal="center" vertical="center" wrapText="1"/>
    </xf>
    <xf numFmtId="0" fontId="19" fillId="34" borderId="1" xfId="0" applyFont="1" applyFill="1" applyBorder="1" applyAlignment="1">
      <alignment horizontal="left" vertical="center" wrapText="1"/>
    </xf>
    <xf numFmtId="0" fontId="21" fillId="33" borderId="1" xfId="0" applyFont="1" applyFill="1" applyBorder="1" applyAlignment="1">
      <alignment horizontal="center" vertical="center"/>
    </xf>
    <xf numFmtId="167" fontId="21" fillId="34" borderId="0" xfId="0" applyNumberFormat="1" applyFont="1" applyFill="1"/>
    <xf numFmtId="168" fontId="21" fillId="34" borderId="0" xfId="0" applyNumberFormat="1" applyFont="1" applyFill="1"/>
    <xf numFmtId="0" fontId="21" fillId="34" borderId="0" xfId="0" applyFont="1" applyFill="1" applyAlignment="1">
      <alignment horizontal="center"/>
    </xf>
    <xf numFmtId="165" fontId="20" fillId="34" borderId="11" xfId="0" applyNumberFormat="1" applyFont="1" applyFill="1" applyBorder="1" applyAlignment="1">
      <alignment horizontal="center" vertical="center" wrapText="1"/>
    </xf>
    <xf numFmtId="0" fontId="21" fillId="34" borderId="1" xfId="0" applyFont="1" applyFill="1" applyBorder="1" applyAlignment="1">
      <alignment horizontal="center" vertical="center"/>
    </xf>
    <xf numFmtId="0" fontId="21" fillId="33" borderId="1" xfId="0" applyFont="1" applyFill="1" applyBorder="1" applyAlignment="1">
      <alignment horizontal="center" vertical="center"/>
    </xf>
    <xf numFmtId="0" fontId="19" fillId="34" borderId="1" xfId="0" applyFont="1" applyFill="1" applyBorder="1" applyAlignment="1">
      <alignment horizontal="center" vertical="center" wrapText="1"/>
    </xf>
    <xf numFmtId="0" fontId="19" fillId="33" borderId="1" xfId="0" applyFont="1" applyFill="1" applyBorder="1" applyAlignment="1">
      <alignment horizontal="left" vertical="center" wrapText="1"/>
    </xf>
    <xf numFmtId="0" fontId="19" fillId="34" borderId="1" xfId="0" applyFont="1" applyFill="1" applyBorder="1" applyAlignment="1">
      <alignment horizontal="left" vertical="center" wrapText="1"/>
    </xf>
    <xf numFmtId="169" fontId="21" fillId="34" borderId="0" xfId="0" applyNumberFormat="1" applyFont="1" applyFill="1"/>
    <xf numFmtId="0" fontId="22" fillId="34" borderId="1" xfId="0" applyFont="1" applyFill="1" applyBorder="1" applyAlignment="1">
      <alignment horizontal="center" vertical="center"/>
    </xf>
    <xf numFmtId="0" fontId="22" fillId="34" borderId="22" xfId="0" applyFont="1" applyFill="1" applyBorder="1" applyAlignment="1">
      <alignment horizontal="center" vertical="center"/>
    </xf>
    <xf numFmtId="0" fontId="21" fillId="34" borderId="22" xfId="0" applyFont="1" applyFill="1" applyBorder="1" applyAlignment="1">
      <alignment horizontal="center" vertical="center"/>
    </xf>
    <xf numFmtId="0" fontId="21" fillId="34" borderId="1" xfId="0" applyFont="1" applyFill="1" applyBorder="1" applyAlignment="1">
      <alignment horizontal="center" vertical="center"/>
    </xf>
    <xf numFmtId="0" fontId="21" fillId="34" borderId="11" xfId="0" applyFont="1" applyFill="1" applyBorder="1" applyAlignment="1">
      <alignment horizontal="center" vertical="center"/>
    </xf>
    <xf numFmtId="0" fontId="21" fillId="34" borderId="16" xfId="0" applyFont="1" applyFill="1" applyBorder="1" applyAlignment="1">
      <alignment horizontal="center" vertical="center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17" xfId="0" applyFont="1" applyFill="1" applyBorder="1" applyAlignment="1">
      <alignment horizontal="center" vertical="center" wrapText="1"/>
    </xf>
    <xf numFmtId="0" fontId="20" fillId="33" borderId="16" xfId="0" applyFont="1" applyFill="1" applyBorder="1" applyAlignment="1">
      <alignment horizontal="center" vertical="center" wrapText="1"/>
    </xf>
    <xf numFmtId="0" fontId="21" fillId="34" borderId="17" xfId="0" applyFont="1" applyFill="1" applyBorder="1" applyAlignment="1">
      <alignment horizontal="center" vertical="center"/>
    </xf>
    <xf numFmtId="0" fontId="21" fillId="33" borderId="1" xfId="0" applyFont="1" applyFill="1" applyBorder="1" applyAlignment="1">
      <alignment horizontal="center" vertical="center"/>
    </xf>
    <xf numFmtId="0" fontId="21" fillId="33" borderId="11" xfId="0" applyFont="1" applyFill="1" applyBorder="1" applyAlignment="1">
      <alignment horizontal="center" vertical="center"/>
    </xf>
    <xf numFmtId="0" fontId="21" fillId="33" borderId="17" xfId="0" applyFont="1" applyFill="1" applyBorder="1" applyAlignment="1">
      <alignment horizontal="center" vertical="center"/>
    </xf>
    <xf numFmtId="0" fontId="21" fillId="33" borderId="16" xfId="0" applyFont="1" applyFill="1" applyBorder="1" applyAlignment="1">
      <alignment horizontal="center" vertical="center"/>
    </xf>
    <xf numFmtId="165" fontId="20" fillId="33" borderId="11" xfId="0" applyNumberFormat="1" applyFont="1" applyFill="1" applyBorder="1" applyAlignment="1">
      <alignment horizontal="center" vertical="center" wrapText="1"/>
    </xf>
    <xf numFmtId="165" fontId="20" fillId="33" borderId="16" xfId="0" applyNumberFormat="1" applyFont="1" applyFill="1" applyBorder="1" applyAlignment="1">
      <alignment horizontal="center" vertical="center" wrapText="1"/>
    </xf>
    <xf numFmtId="49" fontId="19" fillId="33" borderId="11" xfId="0" applyNumberFormat="1" applyFont="1" applyFill="1" applyBorder="1" applyAlignment="1">
      <alignment horizontal="center" vertical="center" wrapText="1"/>
    </xf>
    <xf numFmtId="49" fontId="19" fillId="33" borderId="16" xfId="0" applyNumberFormat="1" applyFont="1" applyFill="1" applyBorder="1" applyAlignment="1">
      <alignment horizontal="center" vertical="center" wrapText="1"/>
    </xf>
    <xf numFmtId="0" fontId="19" fillId="33" borderId="1" xfId="0" applyFont="1" applyFill="1" applyBorder="1" applyAlignment="1">
      <alignment horizontal="left" vertical="center" wrapText="1"/>
    </xf>
    <xf numFmtId="0" fontId="21" fillId="33" borderId="11" xfId="0" applyFont="1" applyFill="1" applyBorder="1" applyAlignment="1">
      <alignment horizontal="center" vertical="center" wrapText="1"/>
    </xf>
    <xf numFmtId="0" fontId="21" fillId="33" borderId="17" xfId="0" applyFont="1" applyFill="1" applyBorder="1" applyAlignment="1">
      <alignment horizontal="center" vertical="center" wrapText="1"/>
    </xf>
    <xf numFmtId="0" fontId="21" fillId="33" borderId="16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left" vertical="center" wrapText="1"/>
    </xf>
    <xf numFmtId="0" fontId="20" fillId="33" borderId="16" xfId="0" applyFont="1" applyFill="1" applyBorder="1" applyAlignment="1">
      <alignment horizontal="left" vertical="center" wrapText="1"/>
    </xf>
    <xf numFmtId="0" fontId="19" fillId="34" borderId="1" xfId="0" applyFont="1" applyFill="1" applyBorder="1" applyAlignment="1">
      <alignment horizontal="center" vertical="center" wrapText="1"/>
    </xf>
    <xf numFmtId="0" fontId="19" fillId="34" borderId="1" xfId="0" applyFont="1" applyFill="1" applyBorder="1" applyAlignment="1">
      <alignment horizontal="center" vertical="center"/>
    </xf>
    <xf numFmtId="0" fontId="19" fillId="34" borderId="11" xfId="0" applyFont="1" applyFill="1" applyBorder="1" applyAlignment="1">
      <alignment horizontal="center" vertical="center" wrapText="1"/>
    </xf>
    <xf numFmtId="0" fontId="19" fillId="34" borderId="17" xfId="0" applyFont="1" applyFill="1" applyBorder="1" applyAlignment="1">
      <alignment horizontal="center" vertical="center" wrapText="1"/>
    </xf>
    <xf numFmtId="0" fontId="19" fillId="34" borderId="16" xfId="0" applyFont="1" applyFill="1" applyBorder="1" applyAlignment="1">
      <alignment horizontal="center" vertical="center" wrapText="1"/>
    </xf>
    <xf numFmtId="0" fontId="19" fillId="34" borderId="11" xfId="0" applyFont="1" applyFill="1" applyBorder="1" applyAlignment="1">
      <alignment horizontal="center" vertical="center"/>
    </xf>
    <xf numFmtId="0" fontId="19" fillId="34" borderId="17" xfId="0" applyFont="1" applyFill="1" applyBorder="1" applyAlignment="1">
      <alignment horizontal="center" vertical="center"/>
    </xf>
    <xf numFmtId="0" fontId="19" fillId="34" borderId="16" xfId="0" applyFont="1" applyFill="1" applyBorder="1" applyAlignment="1">
      <alignment horizontal="center" vertical="center"/>
    </xf>
    <xf numFmtId="165" fontId="19" fillId="34" borderId="11" xfId="0" applyNumberFormat="1" applyFont="1" applyFill="1" applyBorder="1" applyAlignment="1">
      <alignment horizontal="center" vertical="center" wrapText="1"/>
    </xf>
    <xf numFmtId="165" fontId="19" fillId="34" borderId="16" xfId="0" applyNumberFormat="1" applyFont="1" applyFill="1" applyBorder="1" applyAlignment="1">
      <alignment horizontal="center" vertical="center" wrapText="1"/>
    </xf>
    <xf numFmtId="49" fontId="19" fillId="34" borderId="11" xfId="0" applyNumberFormat="1" applyFont="1" applyFill="1" applyBorder="1" applyAlignment="1">
      <alignment horizontal="center" vertical="center" wrapText="1"/>
    </xf>
    <xf numFmtId="49" fontId="19" fillId="34" borderId="16" xfId="0" applyNumberFormat="1" applyFont="1" applyFill="1" applyBorder="1" applyAlignment="1">
      <alignment horizontal="center" vertical="center" wrapText="1"/>
    </xf>
    <xf numFmtId="0" fontId="19" fillId="34" borderId="11" xfId="0" applyFont="1" applyFill="1" applyBorder="1" applyAlignment="1">
      <alignment horizontal="left" vertical="center" wrapText="1"/>
    </xf>
    <xf numFmtId="0" fontId="19" fillId="34" borderId="16" xfId="0" applyFont="1" applyFill="1" applyBorder="1" applyAlignment="1">
      <alignment horizontal="left" vertical="center" wrapText="1"/>
    </xf>
    <xf numFmtId="0" fontId="20" fillId="34" borderId="11" xfId="0" applyFont="1" applyFill="1" applyBorder="1" applyAlignment="1">
      <alignment horizontal="left" vertical="center" wrapText="1"/>
    </xf>
    <xf numFmtId="0" fontId="20" fillId="34" borderId="16" xfId="0" applyFont="1" applyFill="1" applyBorder="1" applyAlignment="1">
      <alignment horizontal="left" vertical="center" wrapText="1"/>
    </xf>
    <xf numFmtId="165" fontId="20" fillId="34" borderId="11" xfId="0" applyNumberFormat="1" applyFont="1" applyFill="1" applyBorder="1" applyAlignment="1">
      <alignment horizontal="center" vertical="center" wrapText="1"/>
    </xf>
    <xf numFmtId="165" fontId="20" fillId="34" borderId="16" xfId="0" applyNumberFormat="1" applyFont="1" applyFill="1" applyBorder="1" applyAlignment="1">
      <alignment horizontal="center" vertical="center" wrapText="1"/>
    </xf>
    <xf numFmtId="0" fontId="21" fillId="34" borderId="0" xfId="0" applyFont="1" applyFill="1" applyAlignment="1">
      <alignment horizontal="center" wrapText="1"/>
    </xf>
    <xf numFmtId="0" fontId="21" fillId="34" borderId="0" xfId="0" applyFont="1" applyFill="1" applyAlignment="1">
      <alignment horizontal="center"/>
    </xf>
    <xf numFmtId="0" fontId="19" fillId="34" borderId="17" xfId="0" applyFont="1" applyFill="1" applyBorder="1" applyAlignment="1">
      <alignment vertical="center" wrapText="1"/>
    </xf>
    <xf numFmtId="0" fontId="19" fillId="34" borderId="16" xfId="0" applyFont="1" applyFill="1" applyBorder="1" applyAlignment="1">
      <alignment vertical="center" wrapText="1"/>
    </xf>
    <xf numFmtId="0" fontId="19" fillId="34" borderId="21" xfId="0" applyFont="1" applyFill="1" applyBorder="1" applyAlignment="1">
      <alignment horizontal="center" vertical="center" wrapText="1"/>
    </xf>
    <xf numFmtId="0" fontId="19" fillId="34" borderId="22" xfId="0" applyFont="1" applyFill="1" applyBorder="1" applyAlignment="1">
      <alignment horizontal="center" vertical="center" wrapText="1"/>
    </xf>
    <xf numFmtId="0" fontId="19" fillId="34" borderId="19" xfId="0" applyFont="1" applyFill="1" applyBorder="1" applyAlignment="1">
      <alignment horizontal="center" vertical="center" wrapText="1"/>
    </xf>
    <xf numFmtId="0" fontId="19" fillId="34" borderId="18" xfId="0" applyFont="1" applyFill="1" applyBorder="1" applyAlignment="1">
      <alignment horizontal="center" vertical="center" wrapText="1"/>
    </xf>
    <xf numFmtId="0" fontId="19" fillId="34" borderId="15" xfId="0" applyFont="1" applyFill="1" applyBorder="1" applyAlignment="1">
      <alignment horizontal="center" vertical="center" wrapText="1"/>
    </xf>
    <xf numFmtId="0" fontId="19" fillId="34" borderId="20" xfId="0" applyFont="1" applyFill="1" applyBorder="1" applyAlignment="1">
      <alignment horizontal="center" vertical="center" wrapText="1"/>
    </xf>
    <xf numFmtId="0" fontId="20" fillId="34" borderId="12" xfId="0" applyFont="1" applyFill="1" applyBorder="1" applyAlignment="1">
      <alignment horizontal="center" vertical="center" wrapText="1"/>
    </xf>
    <xf numFmtId="0" fontId="20" fillId="34" borderId="13" xfId="0" applyFont="1" applyFill="1" applyBorder="1" applyAlignment="1">
      <alignment horizontal="center" vertical="center" wrapText="1"/>
    </xf>
    <xf numFmtId="0" fontId="20" fillId="34" borderId="14" xfId="0" applyFont="1" applyFill="1" applyBorder="1" applyAlignment="1">
      <alignment horizontal="center" vertical="center" wrapText="1"/>
    </xf>
    <xf numFmtId="0" fontId="19" fillId="34" borderId="0" xfId="0" applyFont="1" applyFill="1" applyAlignment="1">
      <alignment horizontal="center" vertical="center" wrapText="1"/>
    </xf>
    <xf numFmtId="0" fontId="24" fillId="34" borderId="0" xfId="0" applyFont="1" applyFill="1" applyAlignment="1">
      <alignment horizontal="center" vertical="center"/>
    </xf>
  </cellXfs>
  <cellStyles count="44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 xr:uid="{00000000-0005-0000-0000-000024000000}"/>
    <cellStyle name="Плохой" xfId="7" builtinId="27" customBuiltin="1"/>
    <cellStyle name="Пояснение" xfId="15" builtinId="53" customBuiltin="1"/>
    <cellStyle name="Примечание 2" xfId="42" xr:uid="{00000000-0005-0000-0000-000027000000}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2" defaultPivotStyle="PivotStyleMedium9"/>
  <colors>
    <mruColors>
      <color rgb="FFFF9966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3"/>
  <sheetViews>
    <sheetView view="pageBreakPreview" zoomScale="120" zoomScaleNormal="80" zoomScaleSheetLayoutView="120" workbookViewId="0">
      <selection activeCell="B20" sqref="B20:B21"/>
    </sheetView>
  </sheetViews>
  <sheetFormatPr defaultRowHeight="15" x14ac:dyDescent="0.25"/>
  <cols>
    <col min="1" max="1" width="6.85546875" style="3" bestFit="1" customWidth="1"/>
    <col min="2" max="2" width="68.140625" style="2" customWidth="1"/>
    <col min="3" max="3" width="14.5703125" style="3" customWidth="1"/>
    <col min="4" max="4" width="21.140625" style="3" customWidth="1"/>
    <col min="5" max="5" width="24" style="2" customWidth="1"/>
    <col min="6" max="6" width="17.28515625" style="2" customWidth="1"/>
    <col min="7" max="7" width="21.5703125" style="2" customWidth="1"/>
    <col min="8" max="8" width="18.140625" style="2" bestFit="1" customWidth="1"/>
    <col min="9" max="9" width="19.140625" style="26" bestFit="1" customWidth="1"/>
    <col min="10" max="10" width="17.42578125" style="2" bestFit="1" customWidth="1"/>
    <col min="11" max="11" width="18" style="2" bestFit="1" customWidth="1"/>
    <col min="12" max="15" width="9.140625" style="2"/>
    <col min="16" max="16" width="15.7109375" style="2" customWidth="1"/>
    <col min="17" max="16384" width="9.140625" style="2"/>
  </cols>
  <sheetData>
    <row r="1" spans="1:11" ht="91.5" customHeight="1" x14ac:dyDescent="0.25">
      <c r="F1" s="84" t="s">
        <v>81</v>
      </c>
      <c r="G1" s="85"/>
      <c r="H1" s="85"/>
      <c r="I1" s="85"/>
    </row>
    <row r="2" spans="1:11" ht="15.75" customHeight="1" x14ac:dyDescent="0.25">
      <c r="A2" s="68" t="s">
        <v>0</v>
      </c>
      <c r="B2" s="68" t="s">
        <v>1</v>
      </c>
      <c r="C2" s="68" t="s">
        <v>2</v>
      </c>
      <c r="D2" s="68" t="s">
        <v>3</v>
      </c>
      <c r="E2" s="68" t="s">
        <v>27</v>
      </c>
      <c r="F2" s="88" t="s">
        <v>28</v>
      </c>
      <c r="G2" s="89"/>
      <c r="H2" s="89"/>
      <c r="I2" s="90"/>
    </row>
    <row r="3" spans="1:11" ht="15.75" customHeight="1" x14ac:dyDescent="0.25">
      <c r="A3" s="69"/>
      <c r="B3" s="86"/>
      <c r="C3" s="69"/>
      <c r="D3" s="69"/>
      <c r="E3" s="69"/>
      <c r="F3" s="91"/>
      <c r="G3" s="92"/>
      <c r="H3" s="92"/>
      <c r="I3" s="93"/>
    </row>
    <row r="4" spans="1:11" ht="15.75" x14ac:dyDescent="0.25">
      <c r="A4" s="70"/>
      <c r="B4" s="87"/>
      <c r="C4" s="70"/>
      <c r="D4" s="70"/>
      <c r="E4" s="70"/>
      <c r="F4" s="29">
        <v>2020</v>
      </c>
      <c r="G4" s="29">
        <v>2021</v>
      </c>
      <c r="H4" s="29">
        <v>2022</v>
      </c>
      <c r="I4" s="29" t="s">
        <v>48</v>
      </c>
    </row>
    <row r="5" spans="1:11" ht="15.75" x14ac:dyDescent="0.25">
      <c r="A5" s="94" t="s">
        <v>4</v>
      </c>
      <c r="B5" s="95"/>
      <c r="C5" s="95"/>
      <c r="D5" s="95"/>
      <c r="E5" s="95"/>
      <c r="F5" s="95"/>
      <c r="G5" s="95"/>
      <c r="H5" s="95"/>
      <c r="I5" s="96"/>
    </row>
    <row r="6" spans="1:11" ht="15.75" customHeight="1" x14ac:dyDescent="0.25">
      <c r="A6" s="76" t="s">
        <v>5</v>
      </c>
      <c r="B6" s="80" t="s">
        <v>113</v>
      </c>
      <c r="C6" s="68">
        <v>2020</v>
      </c>
      <c r="D6" s="68">
        <v>294</v>
      </c>
      <c r="E6" s="8" t="s">
        <v>29</v>
      </c>
      <c r="F6" s="9">
        <f>SUM(F8)+F10</f>
        <v>172288.63516999999</v>
      </c>
      <c r="G6" s="9">
        <f>SUM(G8:G10)</f>
        <v>0</v>
      </c>
      <c r="H6" s="9">
        <f>SUM(H8:H10)</f>
        <v>0</v>
      </c>
      <c r="I6" s="82">
        <f>SUM(F6:H7)</f>
        <v>177011.80539999998</v>
      </c>
    </row>
    <row r="7" spans="1:11" ht="36" customHeight="1" x14ac:dyDescent="0.25">
      <c r="A7" s="77"/>
      <c r="B7" s="81"/>
      <c r="C7" s="69"/>
      <c r="D7" s="69"/>
      <c r="E7" s="8" t="s">
        <v>30</v>
      </c>
      <c r="F7" s="9">
        <f>F9+F11</f>
        <v>4723.1702299999997</v>
      </c>
      <c r="G7" s="9">
        <f>G9+G11</f>
        <v>0</v>
      </c>
      <c r="H7" s="9">
        <f>H9+H11</f>
        <v>0</v>
      </c>
      <c r="I7" s="83"/>
      <c r="J7" s="4"/>
      <c r="K7" s="4"/>
    </row>
    <row r="8" spans="1:11" ht="15.75" x14ac:dyDescent="0.25">
      <c r="A8" s="76" t="s">
        <v>39</v>
      </c>
      <c r="B8" s="78" t="s">
        <v>33</v>
      </c>
      <c r="C8" s="69"/>
      <c r="D8" s="69"/>
      <c r="E8" s="29" t="s">
        <v>29</v>
      </c>
      <c r="F8" s="15">
        <f>166859.70789+1805+321.65418+229.16847-6136.48409</f>
        <v>163079.04644999999</v>
      </c>
      <c r="G8" s="15">
        <v>0</v>
      </c>
      <c r="H8" s="15">
        <v>0</v>
      </c>
      <c r="I8" s="74">
        <f>SUM(F8:H9)</f>
        <v>167782.21672999999</v>
      </c>
      <c r="J8" s="4"/>
      <c r="K8" s="4"/>
    </row>
    <row r="9" spans="1:11" ht="15.75" customHeight="1" x14ac:dyDescent="0.25">
      <c r="A9" s="77"/>
      <c r="B9" s="79"/>
      <c r="C9" s="69"/>
      <c r="D9" s="69"/>
      <c r="E9" s="29" t="s">
        <v>30</v>
      </c>
      <c r="F9" s="15">
        <f>2723.175+2384.73739-2384.73739+989.99527+990.00001</f>
        <v>4703.1702799999994</v>
      </c>
      <c r="G9" s="15">
        <v>0</v>
      </c>
      <c r="H9" s="15">
        <v>0</v>
      </c>
      <c r="I9" s="75"/>
      <c r="J9" s="4"/>
    </row>
    <row r="10" spans="1:11" ht="15.75" x14ac:dyDescent="0.25">
      <c r="A10" s="76" t="s">
        <v>38</v>
      </c>
      <c r="B10" s="78" t="s">
        <v>35</v>
      </c>
      <c r="C10" s="69"/>
      <c r="D10" s="69"/>
      <c r="E10" s="29" t="s">
        <v>29</v>
      </c>
      <c r="F10" s="15">
        <f>8782.08989+520+16.92917+20.22115-300+170.34851</f>
        <v>9209.5887199999979</v>
      </c>
      <c r="G10" s="15">
        <v>0</v>
      </c>
      <c r="H10" s="15">
        <v>0</v>
      </c>
      <c r="I10" s="74">
        <f>SUM(F10:H11)</f>
        <v>9229.5886699999974</v>
      </c>
      <c r="J10" s="4"/>
    </row>
    <row r="11" spans="1:11" ht="18.75" customHeight="1" x14ac:dyDescent="0.25">
      <c r="A11" s="77"/>
      <c r="B11" s="79"/>
      <c r="C11" s="70"/>
      <c r="D11" s="70"/>
      <c r="E11" s="29" t="s">
        <v>30</v>
      </c>
      <c r="F11" s="15">
        <f>24.08826-24.08826+9.99995+10</f>
        <v>19.999949999999998</v>
      </c>
      <c r="G11" s="15">
        <v>0</v>
      </c>
      <c r="H11" s="15">
        <v>0</v>
      </c>
      <c r="I11" s="75"/>
      <c r="J11" s="4"/>
    </row>
    <row r="12" spans="1:11" ht="15.75" x14ac:dyDescent="0.25">
      <c r="A12" s="76" t="s">
        <v>32</v>
      </c>
      <c r="B12" s="80" t="s">
        <v>130</v>
      </c>
      <c r="C12" s="68">
        <v>2020</v>
      </c>
      <c r="D12" s="68">
        <v>250</v>
      </c>
      <c r="E12" s="8" t="s">
        <v>29</v>
      </c>
      <c r="F12" s="9">
        <f t="shared" ref="F12:H13" si="0">F14+F16+F18</f>
        <v>200</v>
      </c>
      <c r="G12" s="9">
        <f>G14+G16+G18</f>
        <v>1.8388846001471393E-11</v>
      </c>
      <c r="H12" s="9">
        <f t="shared" si="0"/>
        <v>0</v>
      </c>
      <c r="I12" s="82">
        <f>SUM(F12:H13)</f>
        <v>200.00000000001839</v>
      </c>
      <c r="J12" s="4"/>
    </row>
    <row r="13" spans="1:11" ht="19.5" customHeight="1" x14ac:dyDescent="0.25">
      <c r="A13" s="77"/>
      <c r="B13" s="81"/>
      <c r="C13" s="69"/>
      <c r="D13" s="69"/>
      <c r="E13" s="8" t="s">
        <v>30</v>
      </c>
      <c r="F13" s="9">
        <f t="shared" si="0"/>
        <v>0</v>
      </c>
      <c r="G13" s="9">
        <f t="shared" si="0"/>
        <v>0</v>
      </c>
      <c r="H13" s="9">
        <f t="shared" si="0"/>
        <v>0</v>
      </c>
      <c r="I13" s="83"/>
    </row>
    <row r="14" spans="1:11" ht="15.75" customHeight="1" x14ac:dyDescent="0.25">
      <c r="A14" s="76" t="s">
        <v>40</v>
      </c>
      <c r="B14" s="78" t="s">
        <v>31</v>
      </c>
      <c r="C14" s="69"/>
      <c r="D14" s="69"/>
      <c r="E14" s="29" t="s">
        <v>29</v>
      </c>
      <c r="F14" s="15">
        <v>0</v>
      </c>
      <c r="G14" s="15">
        <v>0</v>
      </c>
      <c r="H14" s="15">
        <v>0</v>
      </c>
      <c r="I14" s="74">
        <f>SUM(F14:H15)</f>
        <v>0</v>
      </c>
    </row>
    <row r="15" spans="1:11" ht="15.75" x14ac:dyDescent="0.25">
      <c r="A15" s="77"/>
      <c r="B15" s="79"/>
      <c r="C15" s="69"/>
      <c r="D15" s="69"/>
      <c r="E15" s="29" t="s">
        <v>30</v>
      </c>
      <c r="F15" s="15">
        <v>0</v>
      </c>
      <c r="G15" s="15">
        <v>0</v>
      </c>
      <c r="H15" s="15">
        <v>0</v>
      </c>
      <c r="I15" s="75"/>
    </row>
    <row r="16" spans="1:11" ht="15.75" x14ac:dyDescent="0.25">
      <c r="A16" s="76" t="s">
        <v>8</v>
      </c>
      <c r="B16" s="78" t="s">
        <v>33</v>
      </c>
      <c r="C16" s="69"/>
      <c r="D16" s="69"/>
      <c r="E16" s="29" t="s">
        <v>29</v>
      </c>
      <c r="F16" s="15">
        <v>0</v>
      </c>
      <c r="G16" s="15">
        <v>0</v>
      </c>
      <c r="H16" s="15">
        <v>0</v>
      </c>
      <c r="I16" s="74">
        <f>SUM(F16:H17)</f>
        <v>0</v>
      </c>
    </row>
    <row r="17" spans="1:9" ht="15.75" x14ac:dyDescent="0.25">
      <c r="A17" s="77"/>
      <c r="B17" s="79"/>
      <c r="C17" s="69"/>
      <c r="D17" s="69"/>
      <c r="E17" s="29" t="s">
        <v>30</v>
      </c>
      <c r="F17" s="15">
        <v>0</v>
      </c>
      <c r="G17" s="15">
        <v>0</v>
      </c>
      <c r="H17" s="15">
        <v>0</v>
      </c>
      <c r="I17" s="75"/>
    </row>
    <row r="18" spans="1:9" ht="15.75" x14ac:dyDescent="0.25">
      <c r="A18" s="76" t="s">
        <v>9</v>
      </c>
      <c r="B18" s="78" t="s">
        <v>35</v>
      </c>
      <c r="C18" s="69"/>
      <c r="D18" s="69"/>
      <c r="E18" s="29" t="s">
        <v>29</v>
      </c>
      <c r="F18" s="15">
        <v>200</v>
      </c>
      <c r="G18" s="15">
        <f>264504.85342+4076.6544+770+234.40824-264504.85342-4076.6544-770-234.40824</f>
        <v>1.8388846001471393E-11</v>
      </c>
      <c r="H18" s="15">
        <v>0</v>
      </c>
      <c r="I18" s="74">
        <f>SUM(F18:H19)</f>
        <v>200.00000000001839</v>
      </c>
    </row>
    <row r="19" spans="1:9" ht="15.75" x14ac:dyDescent="0.25">
      <c r="A19" s="77"/>
      <c r="B19" s="79"/>
      <c r="C19" s="70"/>
      <c r="D19" s="70"/>
      <c r="E19" s="29" t="s">
        <v>30</v>
      </c>
      <c r="F19" s="15">
        <v>0</v>
      </c>
      <c r="G19" s="15">
        <v>0</v>
      </c>
      <c r="H19" s="15">
        <v>0</v>
      </c>
      <c r="I19" s="75"/>
    </row>
    <row r="20" spans="1:9" ht="15.75" x14ac:dyDescent="0.25">
      <c r="A20" s="76" t="s">
        <v>34</v>
      </c>
      <c r="B20" s="80" t="s">
        <v>114</v>
      </c>
      <c r="C20" s="68" t="s">
        <v>19</v>
      </c>
      <c r="D20" s="68">
        <v>350</v>
      </c>
      <c r="E20" s="8" t="s">
        <v>29</v>
      </c>
      <c r="F20" s="9">
        <f t="shared" ref="F20:H21" si="1">F24+F26+F22</f>
        <v>346749.77639000001</v>
      </c>
      <c r="G20" s="9">
        <f t="shared" si="1"/>
        <v>88099.535109999997</v>
      </c>
      <c r="H20" s="9">
        <f t="shared" si="1"/>
        <v>0</v>
      </c>
      <c r="I20" s="82">
        <f>SUM(F20:H21)</f>
        <v>445865.27886000002</v>
      </c>
    </row>
    <row r="21" spans="1:9" ht="36.75" customHeight="1" x14ac:dyDescent="0.25">
      <c r="A21" s="77"/>
      <c r="B21" s="81"/>
      <c r="C21" s="69"/>
      <c r="D21" s="69"/>
      <c r="E21" s="8" t="s">
        <v>30</v>
      </c>
      <c r="F21" s="9">
        <f t="shared" si="1"/>
        <v>11015.967360000002</v>
      </c>
      <c r="G21" s="9">
        <f t="shared" si="1"/>
        <v>0</v>
      </c>
      <c r="H21" s="9">
        <f t="shared" si="1"/>
        <v>0</v>
      </c>
      <c r="I21" s="83"/>
    </row>
    <row r="22" spans="1:9" ht="16.5" customHeight="1" x14ac:dyDescent="0.25">
      <c r="A22" s="76" t="s">
        <v>41</v>
      </c>
      <c r="B22" s="78" t="s">
        <v>31</v>
      </c>
      <c r="C22" s="69"/>
      <c r="D22" s="69"/>
      <c r="E22" s="29" t="s">
        <v>29</v>
      </c>
      <c r="F22" s="15">
        <f>62403.95224+160128.50055</f>
        <v>222532.45279000001</v>
      </c>
      <c r="G22" s="15">
        <f>160128.50055-160128.50055</f>
        <v>0</v>
      </c>
      <c r="H22" s="15">
        <v>0</v>
      </c>
      <c r="I22" s="74">
        <f>SUM(F22:H23)</f>
        <v>222532.45279000001</v>
      </c>
    </row>
    <row r="23" spans="1:9" ht="15.75" x14ac:dyDescent="0.25">
      <c r="A23" s="77"/>
      <c r="B23" s="79"/>
      <c r="C23" s="69"/>
      <c r="D23" s="69"/>
      <c r="E23" s="29" t="s">
        <v>30</v>
      </c>
      <c r="F23" s="15">
        <v>0</v>
      </c>
      <c r="G23" s="15">
        <v>0</v>
      </c>
      <c r="H23" s="15">
        <v>0</v>
      </c>
      <c r="I23" s="75"/>
    </row>
    <row r="24" spans="1:9" ht="19.5" customHeight="1" x14ac:dyDescent="0.25">
      <c r="A24" s="76" t="s">
        <v>42</v>
      </c>
      <c r="B24" s="78" t="s">
        <v>33</v>
      </c>
      <c r="C24" s="69"/>
      <c r="D24" s="69"/>
      <c r="E24" s="29" t="s">
        <v>29</v>
      </c>
      <c r="F24" s="15">
        <f>26667.98476+26067.43032+53289.4197</f>
        <v>106024.83478</v>
      </c>
      <c r="G24" s="15">
        <f>80650.42094-26067.43032-21196.11224+25627.93545+24012.764+663.43696</f>
        <v>83691.014790000001</v>
      </c>
      <c r="H24" s="15">
        <v>0</v>
      </c>
      <c r="I24" s="74">
        <f>SUM(F24:H25)</f>
        <v>200621.65726000001</v>
      </c>
    </row>
    <row r="25" spans="1:9" ht="15.75" customHeight="1" x14ac:dyDescent="0.25">
      <c r="A25" s="77"/>
      <c r="B25" s="79"/>
      <c r="C25" s="69"/>
      <c r="D25" s="69"/>
      <c r="E25" s="29" t="s">
        <v>30</v>
      </c>
      <c r="F25" s="15">
        <f>16586.68415-16586.68415+10919.87533-14.06764</f>
        <v>10905.807690000001</v>
      </c>
      <c r="G25" s="15">
        <v>0</v>
      </c>
      <c r="H25" s="15">
        <v>0</v>
      </c>
      <c r="I25" s="75"/>
    </row>
    <row r="26" spans="1:9" ht="15.75" x14ac:dyDescent="0.25">
      <c r="A26" s="76" t="s">
        <v>43</v>
      </c>
      <c r="B26" s="78" t="s">
        <v>35</v>
      </c>
      <c r="C26" s="69"/>
      <c r="D26" s="69"/>
      <c r="E26" s="29" t="s">
        <v>29</v>
      </c>
      <c r="F26" s="15">
        <f>4687.99668+44120.04566+900-44120.04566+9799.78584+2804.7063</f>
        <v>18192.488819999999</v>
      </c>
      <c r="G26" s="15">
        <f>12672.57482-9799.78584-1115.58485+1348.8387+34.91773+182.5+1085.05975+0.00001</f>
        <v>4408.5203199999996</v>
      </c>
      <c r="H26" s="15">
        <v>0</v>
      </c>
      <c r="I26" s="74">
        <f>SUM(F26:H27)</f>
        <v>22711.168809999999</v>
      </c>
    </row>
    <row r="27" spans="1:9" ht="15.75" x14ac:dyDescent="0.25">
      <c r="A27" s="77"/>
      <c r="B27" s="79"/>
      <c r="C27" s="70"/>
      <c r="D27" s="70"/>
      <c r="E27" s="29" t="s">
        <v>30</v>
      </c>
      <c r="F27" s="15">
        <f>167.54226-167.54226+110.30177-0.1421</f>
        <v>110.15967000000001</v>
      </c>
      <c r="G27" s="15">
        <v>0</v>
      </c>
      <c r="H27" s="15">
        <v>0</v>
      </c>
      <c r="I27" s="75"/>
    </row>
    <row r="28" spans="1:9" ht="15.75" x14ac:dyDescent="0.25">
      <c r="A28" s="76" t="s">
        <v>44</v>
      </c>
      <c r="B28" s="80" t="s">
        <v>115</v>
      </c>
      <c r="C28" s="68" t="s">
        <v>19</v>
      </c>
      <c r="D28" s="68">
        <v>350</v>
      </c>
      <c r="E28" s="8" t="s">
        <v>29</v>
      </c>
      <c r="F28" s="9">
        <f t="shared" ref="F28:H29" si="2">F32+F34+F30</f>
        <v>318248.85902999999</v>
      </c>
      <c r="G28" s="9">
        <f t="shared" si="2"/>
        <v>156622.39560000002</v>
      </c>
      <c r="H28" s="9">
        <f t="shared" si="2"/>
        <v>0</v>
      </c>
      <c r="I28" s="82">
        <f>SUM(F28:H29)</f>
        <v>485901.24098</v>
      </c>
    </row>
    <row r="29" spans="1:9" ht="37.5" customHeight="1" x14ac:dyDescent="0.25">
      <c r="A29" s="77"/>
      <c r="B29" s="81"/>
      <c r="C29" s="69"/>
      <c r="D29" s="69"/>
      <c r="E29" s="8" t="s">
        <v>30</v>
      </c>
      <c r="F29" s="9">
        <f t="shared" si="2"/>
        <v>11029.986349999999</v>
      </c>
      <c r="G29" s="9">
        <f t="shared" si="2"/>
        <v>0</v>
      </c>
      <c r="H29" s="9">
        <f t="shared" si="2"/>
        <v>0</v>
      </c>
      <c r="I29" s="83"/>
    </row>
    <row r="30" spans="1:9" ht="16.5" customHeight="1" x14ac:dyDescent="0.25">
      <c r="A30" s="76" t="s">
        <v>45</v>
      </c>
      <c r="B30" s="78" t="s">
        <v>31</v>
      </c>
      <c r="C30" s="69"/>
      <c r="D30" s="69"/>
      <c r="E30" s="29" t="s">
        <v>29</v>
      </c>
      <c r="F30" s="15">
        <f>62403.95223+19902.64607</f>
        <v>82306.598299999998</v>
      </c>
      <c r="G30" s="15">
        <f>19902.64607-19902.64607</f>
        <v>0</v>
      </c>
      <c r="H30" s="15">
        <v>0</v>
      </c>
      <c r="I30" s="74">
        <f>SUM(F30:H31)</f>
        <v>82306.598299999998</v>
      </c>
    </row>
    <row r="31" spans="1:9" ht="15.75" x14ac:dyDescent="0.25">
      <c r="A31" s="77"/>
      <c r="B31" s="79"/>
      <c r="C31" s="69"/>
      <c r="D31" s="69"/>
      <c r="E31" s="29" t="s">
        <v>30</v>
      </c>
      <c r="F31" s="15">
        <v>0</v>
      </c>
      <c r="G31" s="15">
        <v>0</v>
      </c>
      <c r="H31" s="15">
        <v>0</v>
      </c>
      <c r="I31" s="75"/>
    </row>
    <row r="32" spans="1:9" ht="19.5" customHeight="1" x14ac:dyDescent="0.25">
      <c r="A32" s="76" t="s">
        <v>46</v>
      </c>
      <c r="B32" s="78" t="s">
        <v>33</v>
      </c>
      <c r="C32" s="69"/>
      <c r="D32" s="69"/>
      <c r="E32" s="29" t="s">
        <v>29</v>
      </c>
      <c r="F32" s="15">
        <f>192566.96174-119878.82016+14355.36568+105523.45448+3239.96565+23367.89039</f>
        <v>219174.81777999998</v>
      </c>
      <c r="G32" s="15">
        <f>55290.29797-3240.24006-20983.13826+21133.3326+46905.97478+51666.97253</f>
        <v>150773.19956000001</v>
      </c>
      <c r="H32" s="15">
        <v>0</v>
      </c>
      <c r="I32" s="74">
        <f>SUM(F32:H33)</f>
        <v>380867.70383000001</v>
      </c>
    </row>
    <row r="33" spans="1:9" ht="15.75" customHeight="1" x14ac:dyDescent="0.25">
      <c r="A33" s="77"/>
      <c r="B33" s="79"/>
      <c r="C33" s="69"/>
      <c r="D33" s="69"/>
      <c r="E33" s="29" t="s">
        <v>30</v>
      </c>
      <c r="F33" s="15">
        <f>16586.68415-16586.68415+10919.87533-0.18884</f>
        <v>10919.68649</v>
      </c>
      <c r="G33" s="15">
        <v>0</v>
      </c>
      <c r="H33" s="15">
        <v>0</v>
      </c>
      <c r="I33" s="75"/>
    </row>
    <row r="34" spans="1:9" ht="15.75" x14ac:dyDescent="0.25">
      <c r="A34" s="76" t="s">
        <v>47</v>
      </c>
      <c r="B34" s="78" t="s">
        <v>35</v>
      </c>
      <c r="C34" s="69"/>
      <c r="D34" s="69"/>
      <c r="E34" s="29" t="s">
        <v>29</v>
      </c>
      <c r="F34" s="15">
        <f>13419.52179+104767.90892+755.54556-105523.45448+18638.784+900-0.00001-18638.784+1218.0322+1229.88897</f>
        <v>16767.442949999997</v>
      </c>
      <c r="G34" s="15">
        <f>3957.52337-1218.04664-1104.37569+1112.28066+2719.31434+182.5+80+120</f>
        <v>5849.1960399999998</v>
      </c>
      <c r="H34" s="15">
        <v>0</v>
      </c>
      <c r="I34" s="74">
        <f>SUM(F34:H35)</f>
        <v>22726.938849999995</v>
      </c>
    </row>
    <row r="35" spans="1:9" ht="15.75" x14ac:dyDescent="0.25">
      <c r="A35" s="77"/>
      <c r="B35" s="79"/>
      <c r="C35" s="70"/>
      <c r="D35" s="70"/>
      <c r="E35" s="29" t="s">
        <v>30</v>
      </c>
      <c r="F35" s="15">
        <f>167.54226-167.54226+110.30177-0.00191</f>
        <v>110.29986000000001</v>
      </c>
      <c r="G35" s="15">
        <v>0</v>
      </c>
      <c r="H35" s="15">
        <v>0</v>
      </c>
      <c r="I35" s="75"/>
    </row>
    <row r="36" spans="1:9" ht="51" customHeight="1" x14ac:dyDescent="0.25">
      <c r="A36" s="76" t="s">
        <v>49</v>
      </c>
      <c r="B36" s="80" t="s">
        <v>145</v>
      </c>
      <c r="C36" s="68" t="s">
        <v>19</v>
      </c>
      <c r="D36" s="68">
        <v>300</v>
      </c>
      <c r="E36" s="8" t="s">
        <v>29</v>
      </c>
      <c r="F36" s="9">
        <f t="shared" ref="F36:H37" si="3">F40+F42+F38</f>
        <v>158266.39674</v>
      </c>
      <c r="G36" s="9">
        <f t="shared" si="3"/>
        <v>182375.21617999999</v>
      </c>
      <c r="H36" s="9">
        <f t="shared" si="3"/>
        <v>0</v>
      </c>
      <c r="I36" s="82">
        <f>SUM(F36:H37)</f>
        <v>368551.13279999996</v>
      </c>
    </row>
    <row r="37" spans="1:9" ht="42" customHeight="1" x14ac:dyDescent="0.25">
      <c r="A37" s="77"/>
      <c r="B37" s="81"/>
      <c r="C37" s="69"/>
      <c r="D37" s="69"/>
      <c r="E37" s="8" t="s">
        <v>30</v>
      </c>
      <c r="F37" s="9">
        <f t="shared" si="3"/>
        <v>0</v>
      </c>
      <c r="G37" s="9">
        <f t="shared" si="3"/>
        <v>27909.519879999996</v>
      </c>
      <c r="H37" s="9">
        <f t="shared" si="3"/>
        <v>0</v>
      </c>
      <c r="I37" s="83"/>
    </row>
    <row r="38" spans="1:9" ht="27" customHeight="1" x14ac:dyDescent="0.25">
      <c r="A38" s="76" t="s">
        <v>50</v>
      </c>
      <c r="B38" s="78" t="s">
        <v>31</v>
      </c>
      <c r="C38" s="69"/>
      <c r="D38" s="69"/>
      <c r="E38" s="29" t="s">
        <v>29</v>
      </c>
      <c r="F38" s="15">
        <f>62403.95225+55679.36613</f>
        <v>118083.31838000001</v>
      </c>
      <c r="G38" s="15">
        <v>120877.05190999999</v>
      </c>
      <c r="H38" s="15">
        <v>0</v>
      </c>
      <c r="I38" s="74">
        <f>SUM(F38:H39)</f>
        <v>238960.37028999999</v>
      </c>
    </row>
    <row r="39" spans="1:9" ht="15.75" x14ac:dyDescent="0.25">
      <c r="A39" s="77"/>
      <c r="B39" s="79"/>
      <c r="C39" s="69"/>
      <c r="D39" s="69"/>
      <c r="E39" s="29" t="s">
        <v>30</v>
      </c>
      <c r="F39" s="15">
        <v>0</v>
      </c>
      <c r="G39" s="15">
        <v>0</v>
      </c>
      <c r="H39" s="15">
        <v>0</v>
      </c>
      <c r="I39" s="75"/>
    </row>
    <row r="40" spans="1:9" ht="19.5" customHeight="1" x14ac:dyDescent="0.25">
      <c r="A40" s="76" t="s">
        <v>51</v>
      </c>
      <c r="B40" s="78" t="s">
        <v>33</v>
      </c>
      <c r="C40" s="69"/>
      <c r="D40" s="69"/>
      <c r="E40" s="29" t="s">
        <v>29</v>
      </c>
      <c r="F40" s="15">
        <f>17389.03852+9064.08286+5463.23714</f>
        <v>31916.358519999998</v>
      </c>
      <c r="G40" s="15">
        <f>41935.75738+4384.9606+2498.1077</f>
        <v>48818.825680000002</v>
      </c>
      <c r="H40" s="15">
        <v>0</v>
      </c>
      <c r="I40" s="74">
        <f>SUM(F40:H41)</f>
        <v>107734.64006999999</v>
      </c>
    </row>
    <row r="41" spans="1:9" ht="15.75" customHeight="1" x14ac:dyDescent="0.25">
      <c r="A41" s="77"/>
      <c r="B41" s="79"/>
      <c r="C41" s="69"/>
      <c r="D41" s="69"/>
      <c r="E41" s="29" t="s">
        <v>30</v>
      </c>
      <c r="F41" s="15">
        <v>0</v>
      </c>
      <c r="G41" s="15">
        <f>12013.947+17483.61657-2498.1077</f>
        <v>26999.455869999998</v>
      </c>
      <c r="H41" s="15">
        <v>0</v>
      </c>
      <c r="I41" s="75"/>
    </row>
    <row r="42" spans="1:9" ht="15.75" x14ac:dyDescent="0.25">
      <c r="A42" s="76" t="s">
        <v>52</v>
      </c>
      <c r="B42" s="78" t="s">
        <v>35</v>
      </c>
      <c r="C42" s="69"/>
      <c r="D42" s="69"/>
      <c r="E42" s="29" t="s">
        <v>29</v>
      </c>
      <c r="F42" s="15">
        <f>4199.63109+372+3407.54995+287.5388</f>
        <v>8266.7198399999997</v>
      </c>
      <c r="G42" s="15">
        <f>8419.09523+1200+7313.72462-4384.9606+131.47934</f>
        <v>12679.338589999999</v>
      </c>
      <c r="H42" s="15">
        <v>0</v>
      </c>
      <c r="I42" s="74">
        <f>SUM(F42:H43)</f>
        <v>21856.122439999996</v>
      </c>
    </row>
    <row r="43" spans="1:9" ht="15.75" x14ac:dyDescent="0.25">
      <c r="A43" s="77"/>
      <c r="B43" s="79"/>
      <c r="C43" s="70"/>
      <c r="D43" s="70"/>
      <c r="E43" s="29" t="s">
        <v>30</v>
      </c>
      <c r="F43" s="15">
        <v>0</v>
      </c>
      <c r="G43" s="15">
        <f>121.353+920.19035-131.47934</f>
        <v>910.06400999999994</v>
      </c>
      <c r="H43" s="15">
        <v>0</v>
      </c>
      <c r="I43" s="75"/>
    </row>
    <row r="44" spans="1:9" ht="85.5" customHeight="1" x14ac:dyDescent="0.25">
      <c r="A44" s="14" t="s">
        <v>94</v>
      </c>
      <c r="B44" s="10" t="s">
        <v>116</v>
      </c>
      <c r="C44" s="68">
        <v>2020</v>
      </c>
      <c r="D44" s="68">
        <v>1500</v>
      </c>
      <c r="E44" s="8" t="s">
        <v>29</v>
      </c>
      <c r="F44" s="9">
        <f>F45+F46</f>
        <v>961.88299000000063</v>
      </c>
      <c r="G44" s="9">
        <f>G45+G46</f>
        <v>342.96908000000002</v>
      </c>
      <c r="H44" s="9">
        <f>H45+H46</f>
        <v>0</v>
      </c>
      <c r="I44" s="9">
        <f>SUM(F44:H44)</f>
        <v>1304.8520700000006</v>
      </c>
    </row>
    <row r="45" spans="1:9" ht="15.75" x14ac:dyDescent="0.25">
      <c r="A45" s="14" t="s">
        <v>95</v>
      </c>
      <c r="B45" s="30" t="s">
        <v>35</v>
      </c>
      <c r="C45" s="69"/>
      <c r="D45" s="69"/>
      <c r="E45" s="29" t="s">
        <v>29</v>
      </c>
      <c r="F45" s="15">
        <f>24.65711-21.19525</f>
        <v>3.4618599999999979</v>
      </c>
      <c r="G45" s="15">
        <f>0.24801</f>
        <v>0.24801000000000001</v>
      </c>
      <c r="H45" s="15">
        <v>0</v>
      </c>
      <c r="I45" s="15">
        <f>SUM(F45:H45)</f>
        <v>3.7098699999999978</v>
      </c>
    </row>
    <row r="46" spans="1:9" ht="15.75" x14ac:dyDescent="0.25">
      <c r="A46" s="14" t="s">
        <v>96</v>
      </c>
      <c r="B46" s="30" t="s">
        <v>33</v>
      </c>
      <c r="C46" s="70"/>
      <c r="D46" s="70"/>
      <c r="E46" s="29" t="s">
        <v>29</v>
      </c>
      <c r="F46" s="15">
        <f>615.69721+2441.01983-2098.29591</f>
        <v>958.42113000000063</v>
      </c>
      <c r="G46" s="15">
        <f>342.72107</f>
        <v>342.72107</v>
      </c>
      <c r="H46" s="15">
        <v>0</v>
      </c>
      <c r="I46" s="15">
        <f>SUM(F46:H46)</f>
        <v>1301.1422000000007</v>
      </c>
    </row>
    <row r="47" spans="1:9" ht="33.75" customHeight="1" x14ac:dyDescent="0.25">
      <c r="A47" s="14" t="s">
        <v>97</v>
      </c>
      <c r="B47" s="11" t="s">
        <v>103</v>
      </c>
      <c r="C47" s="68">
        <v>2020</v>
      </c>
      <c r="D47" s="71">
        <v>150</v>
      </c>
      <c r="E47" s="8" t="s">
        <v>29</v>
      </c>
      <c r="F47" s="9">
        <f>F48+F49</f>
        <v>1708.0201299999999</v>
      </c>
      <c r="G47" s="9">
        <f>G48+G49</f>
        <v>175.67305999999999</v>
      </c>
      <c r="H47" s="9">
        <f>H48+H49</f>
        <v>0</v>
      </c>
      <c r="I47" s="9">
        <f>SUM(F47:H47)</f>
        <v>1883.69319</v>
      </c>
    </row>
    <row r="48" spans="1:9" ht="15.75" x14ac:dyDescent="0.25">
      <c r="A48" s="14" t="s">
        <v>98</v>
      </c>
      <c r="B48" s="30" t="s">
        <v>35</v>
      </c>
      <c r="C48" s="69"/>
      <c r="D48" s="72"/>
      <c r="E48" s="29" t="s">
        <v>29</v>
      </c>
      <c r="F48" s="15">
        <f>281.4+500-30.25213+25.67307+278.28741-879.74665</f>
        <v>175.36169999999993</v>
      </c>
      <c r="G48" s="15">
        <v>175.67305999999999</v>
      </c>
      <c r="H48" s="15">
        <v>0</v>
      </c>
      <c r="I48" s="15">
        <f>SUM(F48:H48)</f>
        <v>351.03475999999989</v>
      </c>
    </row>
    <row r="49" spans="1:9" ht="15.75" x14ac:dyDescent="0.25">
      <c r="A49" s="14" t="s">
        <v>106</v>
      </c>
      <c r="B49" s="30" t="s">
        <v>33</v>
      </c>
      <c r="C49" s="70"/>
      <c r="D49" s="73"/>
      <c r="E49" s="29" t="s">
        <v>29</v>
      </c>
      <c r="F49" s="15">
        <f>1532.65843</f>
        <v>1532.65843</v>
      </c>
      <c r="G49" s="15">
        <v>0</v>
      </c>
      <c r="H49" s="15">
        <v>0</v>
      </c>
      <c r="I49" s="15">
        <f>F49+G49+H49</f>
        <v>1532.65843</v>
      </c>
    </row>
    <row r="50" spans="1:9" ht="31.5" x14ac:dyDescent="0.25">
      <c r="A50" s="14" t="s">
        <v>99</v>
      </c>
      <c r="B50" s="11" t="s">
        <v>102</v>
      </c>
      <c r="C50" s="68">
        <v>2020</v>
      </c>
      <c r="D50" s="68">
        <v>250</v>
      </c>
      <c r="E50" s="8" t="s">
        <v>29</v>
      </c>
      <c r="F50" s="9">
        <f>F51+F52</f>
        <v>67924.675789999994</v>
      </c>
      <c r="G50" s="9">
        <f>G51+G52</f>
        <v>0</v>
      </c>
      <c r="H50" s="9">
        <f>H51+H52</f>
        <v>0</v>
      </c>
      <c r="I50" s="9">
        <f t="shared" ref="I50:I61" si="4">SUM(F50:H50)</f>
        <v>67924.675789999994</v>
      </c>
    </row>
    <row r="51" spans="1:9" ht="15.75" x14ac:dyDescent="0.25">
      <c r="A51" s="14" t="s">
        <v>100</v>
      </c>
      <c r="B51" s="30" t="s">
        <v>35</v>
      </c>
      <c r="C51" s="69"/>
      <c r="D51" s="69"/>
      <c r="E51" s="29" t="s">
        <v>29</v>
      </c>
      <c r="F51" s="15">
        <f>300+3316.64864+700+32.37825+129.65149+851.1017</f>
        <v>5329.7800799999995</v>
      </c>
      <c r="G51" s="15">
        <v>0</v>
      </c>
      <c r="H51" s="15">
        <v>0</v>
      </c>
      <c r="I51" s="15">
        <f t="shared" si="4"/>
        <v>5329.7800799999995</v>
      </c>
    </row>
    <row r="52" spans="1:9" ht="15.75" x14ac:dyDescent="0.25">
      <c r="A52" s="14" t="s">
        <v>101</v>
      </c>
      <c r="B52" s="30" t="s">
        <v>33</v>
      </c>
      <c r="C52" s="70"/>
      <c r="D52" s="70"/>
      <c r="E52" s="29" t="s">
        <v>29</v>
      </c>
      <c r="F52" s="15">
        <f>63126.82274+5013.94589+615.18675-6161.05967</f>
        <v>62594.895709999997</v>
      </c>
      <c r="G52" s="15">
        <v>0</v>
      </c>
      <c r="H52" s="15">
        <v>0</v>
      </c>
      <c r="I52" s="15">
        <f t="shared" si="4"/>
        <v>62594.895709999997</v>
      </c>
    </row>
    <row r="53" spans="1:9" ht="78.75" x14ac:dyDescent="0.25">
      <c r="A53" s="14" t="s">
        <v>117</v>
      </c>
      <c r="B53" s="10" t="s">
        <v>120</v>
      </c>
      <c r="C53" s="68" t="s">
        <v>121</v>
      </c>
      <c r="D53" s="68">
        <v>1500</v>
      </c>
      <c r="E53" s="8" t="s">
        <v>29</v>
      </c>
      <c r="F53" s="9">
        <f>F54+F55</f>
        <v>0</v>
      </c>
      <c r="G53" s="9">
        <f>G54+G55</f>
        <v>53687.340929999998</v>
      </c>
      <c r="H53" s="9">
        <f>H54+H55</f>
        <v>112700.27860999999</v>
      </c>
      <c r="I53" s="9">
        <f t="shared" si="4"/>
        <v>166387.61953999999</v>
      </c>
    </row>
    <row r="54" spans="1:9" ht="15.75" x14ac:dyDescent="0.25">
      <c r="A54" s="14" t="s">
        <v>118</v>
      </c>
      <c r="B54" s="30" t="s">
        <v>35</v>
      </c>
      <c r="C54" s="69"/>
      <c r="D54" s="69"/>
      <c r="E54" s="29" t="s">
        <v>29</v>
      </c>
      <c r="F54" s="15">
        <v>0</v>
      </c>
      <c r="G54" s="15">
        <f>510.64148+2150.06937-510.64148-2150.06937+2684.36705</f>
        <v>2684.3670499999998</v>
      </c>
      <c r="H54" s="15">
        <f>765.96222+3225.10409+1643.94762</f>
        <v>5635.0139299999992</v>
      </c>
      <c r="I54" s="15">
        <f t="shared" si="4"/>
        <v>8319.3809799999981</v>
      </c>
    </row>
    <row r="55" spans="1:9" ht="15.75" x14ac:dyDescent="0.25">
      <c r="A55" s="14" t="s">
        <v>119</v>
      </c>
      <c r="B55" s="30" t="s">
        <v>33</v>
      </c>
      <c r="C55" s="70"/>
      <c r="D55" s="70"/>
      <c r="E55" s="29" t="s">
        <v>29</v>
      </c>
      <c r="F55" s="15">
        <v>0</v>
      </c>
      <c r="G55" s="15">
        <f>50553.50613-50553.50613+51002.97388</f>
        <v>51002.973879999998</v>
      </c>
      <c r="H55" s="15">
        <f>75830.25989+31235.00479</f>
        <v>107065.26467999999</v>
      </c>
      <c r="I55" s="15">
        <f t="shared" si="4"/>
        <v>158068.23856</v>
      </c>
    </row>
    <row r="56" spans="1:9" ht="87" customHeight="1" x14ac:dyDescent="0.25">
      <c r="A56" s="14" t="s">
        <v>122</v>
      </c>
      <c r="B56" s="11" t="s">
        <v>128</v>
      </c>
      <c r="C56" s="66">
        <v>2020</v>
      </c>
      <c r="D56" s="67">
        <v>300</v>
      </c>
      <c r="E56" s="8" t="s">
        <v>30</v>
      </c>
      <c r="F56" s="9">
        <f>F57+F58</f>
        <v>5934.6062699999993</v>
      </c>
      <c r="G56" s="9">
        <f>G57+G58</f>
        <v>0</v>
      </c>
      <c r="H56" s="9">
        <f>H57+H58</f>
        <v>0</v>
      </c>
      <c r="I56" s="9">
        <f t="shared" si="4"/>
        <v>5934.6062699999993</v>
      </c>
    </row>
    <row r="57" spans="1:9" ht="15.75" x14ac:dyDescent="0.25">
      <c r="A57" s="14" t="s">
        <v>123</v>
      </c>
      <c r="B57" s="30" t="s">
        <v>35</v>
      </c>
      <c r="C57" s="66"/>
      <c r="D57" s="67"/>
      <c r="E57" s="29" t="s">
        <v>30</v>
      </c>
      <c r="F57" s="15">
        <f>64.28465-4.93858</f>
        <v>59.346069999999997</v>
      </c>
      <c r="G57" s="15">
        <v>0</v>
      </c>
      <c r="H57" s="15">
        <v>0</v>
      </c>
      <c r="I57" s="15">
        <f t="shared" si="4"/>
        <v>59.346069999999997</v>
      </c>
    </row>
    <row r="58" spans="1:9" ht="15.75" x14ac:dyDescent="0.25">
      <c r="A58" s="14" t="s">
        <v>124</v>
      </c>
      <c r="B58" s="30" t="s">
        <v>33</v>
      </c>
      <c r="C58" s="66"/>
      <c r="D58" s="67"/>
      <c r="E58" s="29" t="s">
        <v>30</v>
      </c>
      <c r="F58" s="15">
        <f>6364.17988-488.91968</f>
        <v>5875.2601999999997</v>
      </c>
      <c r="G58" s="15">
        <v>0</v>
      </c>
      <c r="H58" s="15">
        <v>0</v>
      </c>
      <c r="I58" s="15">
        <f t="shared" si="4"/>
        <v>5875.2601999999997</v>
      </c>
    </row>
    <row r="59" spans="1:9" ht="63" x14ac:dyDescent="0.25">
      <c r="A59" s="14" t="s">
        <v>125</v>
      </c>
      <c r="B59" s="11" t="s">
        <v>129</v>
      </c>
      <c r="C59" s="68">
        <v>2020</v>
      </c>
      <c r="D59" s="68">
        <v>300</v>
      </c>
      <c r="E59" s="8" t="s">
        <v>30</v>
      </c>
      <c r="F59" s="9">
        <f>F60+F61</f>
        <v>5936.7232699999995</v>
      </c>
      <c r="G59" s="9">
        <f>G60+G61</f>
        <v>0</v>
      </c>
      <c r="H59" s="9">
        <f>H60+H61</f>
        <v>0</v>
      </c>
      <c r="I59" s="9">
        <f t="shared" si="4"/>
        <v>5936.7232699999995</v>
      </c>
    </row>
    <row r="60" spans="1:9" ht="15.75" x14ac:dyDescent="0.25">
      <c r="A60" s="14" t="s">
        <v>126</v>
      </c>
      <c r="B60" s="30" t="s">
        <v>35</v>
      </c>
      <c r="C60" s="69"/>
      <c r="D60" s="69"/>
      <c r="E60" s="29" t="s">
        <v>30</v>
      </c>
      <c r="F60" s="15">
        <f>64.28465-4.91741</f>
        <v>59.367239999999995</v>
      </c>
      <c r="G60" s="15">
        <v>0</v>
      </c>
      <c r="H60" s="15">
        <v>0</v>
      </c>
      <c r="I60" s="15">
        <f t="shared" si="4"/>
        <v>59.367239999999995</v>
      </c>
    </row>
    <row r="61" spans="1:9" ht="15.75" x14ac:dyDescent="0.25">
      <c r="A61" s="14" t="s">
        <v>127</v>
      </c>
      <c r="B61" s="30" t="s">
        <v>33</v>
      </c>
      <c r="C61" s="70"/>
      <c r="D61" s="70"/>
      <c r="E61" s="29" t="s">
        <v>30</v>
      </c>
      <c r="F61" s="15">
        <f>6364.17988-486.82385</f>
        <v>5877.3560299999999</v>
      </c>
      <c r="G61" s="15">
        <v>0</v>
      </c>
      <c r="H61" s="15">
        <v>0</v>
      </c>
      <c r="I61" s="15">
        <f t="shared" si="4"/>
        <v>5877.3560299999999</v>
      </c>
    </row>
    <row r="62" spans="1:9" x14ac:dyDescent="0.25">
      <c r="A62" s="43" t="s">
        <v>6</v>
      </c>
      <c r="B62" s="43"/>
      <c r="C62" s="43"/>
      <c r="D62" s="43"/>
      <c r="E62" s="43"/>
      <c r="F62" s="43"/>
      <c r="G62" s="43"/>
      <c r="H62" s="43"/>
      <c r="I62" s="43"/>
    </row>
    <row r="63" spans="1:9" ht="64.5" customHeight="1" x14ac:dyDescent="0.25">
      <c r="A63" s="14" t="s">
        <v>7</v>
      </c>
      <c r="B63" s="11" t="s">
        <v>21</v>
      </c>
      <c r="C63" s="45">
        <v>2020</v>
      </c>
      <c r="D63" s="45"/>
      <c r="E63" s="8" t="s">
        <v>29</v>
      </c>
      <c r="F63" s="9">
        <f>F64</f>
        <v>0</v>
      </c>
      <c r="G63" s="9">
        <f>G64</f>
        <v>0</v>
      </c>
      <c r="H63" s="9">
        <f>H64</f>
        <v>0</v>
      </c>
      <c r="I63" s="9">
        <f>F63+G63+H63</f>
        <v>0</v>
      </c>
    </row>
    <row r="64" spans="1:9" ht="27" customHeight="1" x14ac:dyDescent="0.25">
      <c r="A64" s="14" t="s">
        <v>54</v>
      </c>
      <c r="B64" s="30" t="s">
        <v>35</v>
      </c>
      <c r="C64" s="45"/>
      <c r="D64" s="45"/>
      <c r="E64" s="29" t="s">
        <v>29</v>
      </c>
      <c r="F64" s="15">
        <v>0</v>
      </c>
      <c r="G64" s="15">
        <v>0</v>
      </c>
      <c r="H64" s="15">
        <v>0</v>
      </c>
      <c r="I64" s="15">
        <f>F64+G64+H64</f>
        <v>0</v>
      </c>
    </row>
    <row r="65" spans="1:9" ht="75" customHeight="1" x14ac:dyDescent="0.25">
      <c r="A65" s="14" t="s">
        <v>8</v>
      </c>
      <c r="B65" s="11" t="s">
        <v>22</v>
      </c>
      <c r="C65" s="45">
        <v>2021</v>
      </c>
      <c r="D65" s="45"/>
      <c r="E65" s="8" t="s">
        <v>29</v>
      </c>
      <c r="F65" s="9">
        <f>F66</f>
        <v>0</v>
      </c>
      <c r="G65" s="9">
        <f>G66</f>
        <v>0</v>
      </c>
      <c r="H65" s="9">
        <f>H66</f>
        <v>0</v>
      </c>
      <c r="I65" s="9">
        <f>F65+G65+H65</f>
        <v>0</v>
      </c>
    </row>
    <row r="66" spans="1:9" ht="27" customHeight="1" x14ac:dyDescent="0.25">
      <c r="A66" s="14" t="s">
        <v>53</v>
      </c>
      <c r="B66" s="30" t="s">
        <v>35</v>
      </c>
      <c r="C66" s="45"/>
      <c r="D66" s="45"/>
      <c r="E66" s="29" t="s">
        <v>29</v>
      </c>
      <c r="F66" s="15">
        <v>0</v>
      </c>
      <c r="G66" s="15">
        <v>0</v>
      </c>
      <c r="H66" s="15">
        <v>0</v>
      </c>
      <c r="I66" s="15">
        <f>F66+G66+H66</f>
        <v>0</v>
      </c>
    </row>
    <row r="67" spans="1:9" s="17" customFormat="1" ht="45" customHeight="1" x14ac:dyDescent="0.25">
      <c r="A67" s="58" t="s">
        <v>9</v>
      </c>
      <c r="B67" s="64" t="s">
        <v>20</v>
      </c>
      <c r="C67" s="52">
        <v>2020</v>
      </c>
      <c r="D67" s="52"/>
      <c r="E67" s="20" t="s">
        <v>29</v>
      </c>
      <c r="F67" s="21">
        <v>0</v>
      </c>
      <c r="G67" s="21">
        <f>G69+G71</f>
        <v>1580.0302799999997</v>
      </c>
      <c r="H67" s="21">
        <f>H69</f>
        <v>0</v>
      </c>
      <c r="I67" s="56">
        <f>I69+I71</f>
        <v>1580.0302799999997</v>
      </c>
    </row>
    <row r="68" spans="1:9" s="17" customFormat="1" ht="21.75" customHeight="1" x14ac:dyDescent="0.25">
      <c r="A68" s="59"/>
      <c r="B68" s="65"/>
      <c r="C68" s="52"/>
      <c r="D68" s="52"/>
      <c r="E68" s="20" t="s">
        <v>30</v>
      </c>
      <c r="F68" s="21">
        <v>0</v>
      </c>
      <c r="G68" s="21">
        <f>G72+G74+G70</f>
        <v>0</v>
      </c>
      <c r="H68" s="21">
        <v>0</v>
      </c>
      <c r="I68" s="57"/>
    </row>
    <row r="69" spans="1:9" s="17" customFormat="1" ht="19.5" customHeight="1" x14ac:dyDescent="0.25">
      <c r="A69" s="58" t="s">
        <v>55</v>
      </c>
      <c r="B69" s="60" t="s">
        <v>33</v>
      </c>
      <c r="C69" s="52"/>
      <c r="D69" s="52"/>
      <c r="E69" s="18" t="s">
        <v>29</v>
      </c>
      <c r="F69" s="1">
        <v>0</v>
      </c>
      <c r="G69" s="1">
        <f>1379.58902-36.56328</f>
        <v>1343.0257399999998</v>
      </c>
      <c r="H69" s="1">
        <v>0</v>
      </c>
      <c r="I69" s="56">
        <f>SUM(F69:H70)</f>
        <v>1343.0257399999998</v>
      </c>
    </row>
    <row r="70" spans="1:9" s="17" customFormat="1" ht="15.75" customHeight="1" x14ac:dyDescent="0.25">
      <c r="A70" s="59"/>
      <c r="B70" s="60"/>
      <c r="C70" s="52"/>
      <c r="D70" s="52"/>
      <c r="E70" s="18" t="s">
        <v>30</v>
      </c>
      <c r="F70" s="1">
        <v>0</v>
      </c>
      <c r="G70" s="1">
        <v>0</v>
      </c>
      <c r="H70" s="1">
        <v>0</v>
      </c>
      <c r="I70" s="57"/>
    </row>
    <row r="71" spans="1:9" s="17" customFormat="1" ht="15.75" x14ac:dyDescent="0.25">
      <c r="A71" s="58" t="s">
        <v>56</v>
      </c>
      <c r="B71" s="60" t="s">
        <v>35</v>
      </c>
      <c r="C71" s="52"/>
      <c r="D71" s="52"/>
      <c r="E71" s="18" t="s">
        <v>29</v>
      </c>
      <c r="F71" s="1">
        <v>0</v>
      </c>
      <c r="G71" s="1">
        <f>243.45689-6.45235</f>
        <v>237.00453999999999</v>
      </c>
      <c r="H71" s="1">
        <v>0</v>
      </c>
      <c r="I71" s="56">
        <f>SUM(F71:H72)</f>
        <v>237.00453999999999</v>
      </c>
    </row>
    <row r="72" spans="1:9" s="17" customFormat="1" ht="15.75" x14ac:dyDescent="0.25">
      <c r="A72" s="59"/>
      <c r="B72" s="60"/>
      <c r="C72" s="52"/>
      <c r="D72" s="52"/>
      <c r="E72" s="18" t="s">
        <v>30</v>
      </c>
      <c r="F72" s="1">
        <v>0</v>
      </c>
      <c r="G72" s="1">
        <v>0</v>
      </c>
      <c r="H72" s="1">
        <v>0</v>
      </c>
      <c r="I72" s="57"/>
    </row>
    <row r="73" spans="1:9" ht="75" customHeight="1" x14ac:dyDescent="0.25">
      <c r="A73" s="14" t="s">
        <v>57</v>
      </c>
      <c r="B73" s="11" t="s">
        <v>23</v>
      </c>
      <c r="C73" s="45">
        <v>2022</v>
      </c>
      <c r="D73" s="45"/>
      <c r="E73" s="8" t="s">
        <v>29</v>
      </c>
      <c r="F73" s="9">
        <f>F74</f>
        <v>0</v>
      </c>
      <c r="G73" s="9">
        <v>0</v>
      </c>
      <c r="H73" s="9">
        <f>H74</f>
        <v>0</v>
      </c>
      <c r="I73" s="9">
        <f>F73+G73+H73</f>
        <v>0</v>
      </c>
    </row>
    <row r="74" spans="1:9" ht="27" customHeight="1" x14ac:dyDescent="0.25">
      <c r="A74" s="14" t="s">
        <v>58</v>
      </c>
      <c r="B74" s="30" t="s">
        <v>35</v>
      </c>
      <c r="C74" s="45"/>
      <c r="D74" s="45"/>
      <c r="E74" s="29" t="s">
        <v>29</v>
      </c>
      <c r="F74" s="15">
        <v>0</v>
      </c>
      <c r="G74" s="15">
        <v>0</v>
      </c>
      <c r="H74" s="15">
        <v>0</v>
      </c>
      <c r="I74" s="15">
        <f>F74+G74+H74</f>
        <v>0</v>
      </c>
    </row>
    <row r="75" spans="1:9" ht="50.25" customHeight="1" x14ac:dyDescent="0.25">
      <c r="A75" s="14" t="s">
        <v>88</v>
      </c>
      <c r="B75" s="11" t="s">
        <v>105</v>
      </c>
      <c r="C75" s="46">
        <v>2020</v>
      </c>
      <c r="D75" s="28"/>
      <c r="E75" s="8" t="s">
        <v>29</v>
      </c>
      <c r="F75" s="9">
        <f>F76+F77</f>
        <v>1941.7412200000001</v>
      </c>
      <c r="G75" s="9">
        <f>G76+G77</f>
        <v>0</v>
      </c>
      <c r="H75" s="9">
        <f>H76+H77</f>
        <v>0</v>
      </c>
      <c r="I75" s="9">
        <f t="shared" ref="I75:I77" si="5">SUM(F75:H75)</f>
        <v>1941.7412200000001</v>
      </c>
    </row>
    <row r="76" spans="1:9" ht="27" customHeight="1" x14ac:dyDescent="0.25">
      <c r="A76" s="14" t="s">
        <v>89</v>
      </c>
      <c r="B76" s="30" t="s">
        <v>33</v>
      </c>
      <c r="C76" s="51"/>
      <c r="D76" s="28"/>
      <c r="E76" s="29" t="s">
        <v>29</v>
      </c>
      <c r="F76" s="15">
        <v>1837.3729900000001</v>
      </c>
      <c r="G76" s="15">
        <v>0</v>
      </c>
      <c r="H76" s="15">
        <v>0</v>
      </c>
      <c r="I76" s="9">
        <f t="shared" si="5"/>
        <v>1837.3729900000001</v>
      </c>
    </row>
    <row r="77" spans="1:9" ht="27" customHeight="1" x14ac:dyDescent="0.25">
      <c r="A77" s="14" t="s">
        <v>90</v>
      </c>
      <c r="B77" s="30" t="s">
        <v>35</v>
      </c>
      <c r="C77" s="47"/>
      <c r="D77" s="28"/>
      <c r="E77" s="29" t="s">
        <v>29</v>
      </c>
      <c r="F77" s="15">
        <f>600+100+4.36823-600</f>
        <v>104.36823000000004</v>
      </c>
      <c r="G77" s="15">
        <v>0</v>
      </c>
      <c r="H77" s="15">
        <v>0</v>
      </c>
      <c r="I77" s="9">
        <f t="shared" si="5"/>
        <v>104.36823000000004</v>
      </c>
    </row>
    <row r="78" spans="1:9" ht="64.5" customHeight="1" x14ac:dyDescent="0.25">
      <c r="A78" s="14" t="s">
        <v>91</v>
      </c>
      <c r="B78" s="11" t="s">
        <v>104</v>
      </c>
      <c r="C78" s="46">
        <v>2020</v>
      </c>
      <c r="D78" s="28"/>
      <c r="E78" s="8" t="s">
        <v>29</v>
      </c>
      <c r="F78" s="9">
        <f>F79+F80</f>
        <v>1905.87743</v>
      </c>
      <c r="G78" s="9">
        <f>G79+G80</f>
        <v>0</v>
      </c>
      <c r="H78" s="9">
        <f>H79+H80</f>
        <v>0</v>
      </c>
      <c r="I78" s="9">
        <f>SUM(F78:H78)</f>
        <v>1905.87743</v>
      </c>
    </row>
    <row r="79" spans="1:9" ht="27" customHeight="1" x14ac:dyDescent="0.25">
      <c r="A79" s="14" t="s">
        <v>92</v>
      </c>
      <c r="B79" s="30" t="s">
        <v>33</v>
      </c>
      <c r="C79" s="51"/>
      <c r="D79" s="28"/>
      <c r="E79" s="29" t="s">
        <v>29</v>
      </c>
      <c r="F79" s="15">
        <v>1805.87743</v>
      </c>
      <c r="G79" s="15">
        <v>0</v>
      </c>
      <c r="H79" s="15">
        <v>0</v>
      </c>
      <c r="I79" s="9">
        <f>SUM(F79:H79)</f>
        <v>1805.87743</v>
      </c>
    </row>
    <row r="80" spans="1:9" ht="27" customHeight="1" x14ac:dyDescent="0.25">
      <c r="A80" s="14" t="s">
        <v>93</v>
      </c>
      <c r="B80" s="30" t="s">
        <v>35</v>
      </c>
      <c r="C80" s="47"/>
      <c r="D80" s="28"/>
      <c r="E80" s="29" t="s">
        <v>29</v>
      </c>
      <c r="F80" s="15">
        <f>600+100-600</f>
        <v>100</v>
      </c>
      <c r="G80" s="15">
        <v>0</v>
      </c>
      <c r="H80" s="15">
        <v>0</v>
      </c>
      <c r="I80" s="9">
        <f>SUM(F80:H80)</f>
        <v>100</v>
      </c>
    </row>
    <row r="81" spans="1:10" s="17" customFormat="1" ht="57" customHeight="1" x14ac:dyDescent="0.25">
      <c r="A81" s="23" t="s">
        <v>139</v>
      </c>
      <c r="B81" s="25" t="s">
        <v>163</v>
      </c>
      <c r="C81" s="61">
        <v>2021</v>
      </c>
      <c r="D81" s="31"/>
      <c r="E81" s="18" t="s">
        <v>29</v>
      </c>
      <c r="F81" s="1">
        <f>F82+F83</f>
        <v>338.1943</v>
      </c>
      <c r="G81" s="1">
        <f>G82+G83</f>
        <v>1769.4753000000001</v>
      </c>
      <c r="H81" s="1">
        <f t="shared" ref="H81" si="6">H82+H83</f>
        <v>0</v>
      </c>
      <c r="I81" s="1">
        <f>I82+I83</f>
        <v>2107.6696000000002</v>
      </c>
    </row>
    <row r="82" spans="1:10" s="17" customFormat="1" ht="27" customHeight="1" x14ac:dyDescent="0.25">
      <c r="A82" s="23" t="s">
        <v>140</v>
      </c>
      <c r="B82" s="25" t="s">
        <v>33</v>
      </c>
      <c r="C82" s="62"/>
      <c r="D82" s="31"/>
      <c r="E82" s="18" t="s">
        <v>29</v>
      </c>
      <c r="F82" s="1">
        <v>0</v>
      </c>
      <c r="G82" s="1">
        <v>1504.0540100000001</v>
      </c>
      <c r="H82" s="1">
        <v>0</v>
      </c>
      <c r="I82" s="21">
        <f>SUM(F82:H82)</f>
        <v>1504.0540100000001</v>
      </c>
    </row>
    <row r="83" spans="1:10" s="17" customFormat="1" ht="27" customHeight="1" x14ac:dyDescent="0.25">
      <c r="A83" s="23" t="s">
        <v>141</v>
      </c>
      <c r="B83" s="25" t="s">
        <v>35</v>
      </c>
      <c r="C83" s="63"/>
      <c r="D83" s="31"/>
      <c r="E83" s="18" t="s">
        <v>29</v>
      </c>
      <c r="F83" s="1">
        <v>338.1943</v>
      </c>
      <c r="G83" s="1">
        <v>265.42129</v>
      </c>
      <c r="H83" s="1">
        <f t="shared" ref="H83" si="7">SUM(H82)</f>
        <v>0</v>
      </c>
      <c r="I83" s="21">
        <f>SUM(F83:H83)</f>
        <v>603.61559</v>
      </c>
    </row>
    <row r="84" spans="1:10" s="17" customFormat="1" ht="71.25" customHeight="1" x14ac:dyDescent="0.25">
      <c r="A84" s="23" t="s">
        <v>142</v>
      </c>
      <c r="B84" s="25" t="s">
        <v>164</v>
      </c>
      <c r="C84" s="53">
        <v>2021</v>
      </c>
      <c r="D84" s="31"/>
      <c r="E84" s="18" t="s">
        <v>29</v>
      </c>
      <c r="F84" s="1">
        <f>F85+F86</f>
        <v>255.8081</v>
      </c>
      <c r="G84" s="1">
        <f t="shared" ref="G84:I84" si="8">G85+G86</f>
        <v>1619.6830499999999</v>
      </c>
      <c r="H84" s="1">
        <f t="shared" si="8"/>
        <v>0</v>
      </c>
      <c r="I84" s="1">
        <f t="shared" si="8"/>
        <v>1875.4911499999998</v>
      </c>
    </row>
    <row r="85" spans="1:10" s="17" customFormat="1" ht="27" customHeight="1" x14ac:dyDescent="0.25">
      <c r="A85" s="23" t="s">
        <v>143</v>
      </c>
      <c r="B85" s="25" t="s">
        <v>33</v>
      </c>
      <c r="C85" s="54"/>
      <c r="D85" s="31"/>
      <c r="E85" s="18" t="s">
        <v>29</v>
      </c>
      <c r="F85" s="1">
        <v>0</v>
      </c>
      <c r="G85" s="1">
        <v>1376.7305799999999</v>
      </c>
      <c r="H85" s="1">
        <v>0</v>
      </c>
      <c r="I85" s="21">
        <f>SUM(F85:H85)</f>
        <v>1376.7305799999999</v>
      </c>
    </row>
    <row r="86" spans="1:10" s="17" customFormat="1" ht="27" customHeight="1" x14ac:dyDescent="0.25">
      <c r="A86" s="23" t="s">
        <v>144</v>
      </c>
      <c r="B86" s="25" t="s">
        <v>35</v>
      </c>
      <c r="C86" s="55"/>
      <c r="D86" s="31"/>
      <c r="E86" s="18" t="s">
        <v>29</v>
      </c>
      <c r="F86" s="1">
        <v>255.8081</v>
      </c>
      <c r="G86" s="1">
        <v>242.95247000000001</v>
      </c>
      <c r="H86" s="1">
        <f t="shared" ref="H86" si="9">SUM(H85)</f>
        <v>0</v>
      </c>
      <c r="I86" s="21">
        <f>SUM(F86:H86)</f>
        <v>498.76057000000003</v>
      </c>
    </row>
    <row r="87" spans="1:10" x14ac:dyDescent="0.25">
      <c r="A87" s="42" t="s">
        <v>10</v>
      </c>
      <c r="B87" s="42"/>
      <c r="C87" s="42"/>
      <c r="D87" s="42"/>
      <c r="E87" s="42"/>
      <c r="F87" s="22">
        <f>F73+F68+F67+F65+F63+F37+F36+F29+F28+F21+F20+F13+F12+F7+F6+F75+F78+F59+F47+F44+F50+F53+F56+F81+F84</f>
        <v>1109430.3207700001</v>
      </c>
      <c r="G87" s="22">
        <f>G73+G68+G67+G65+G63+G37+G36+G29+G28+G21+G20+G13+G12+G7+G6+G75+G78+G59+G47+G44+G50+G53+G56+G81+G84</f>
        <v>514181.83847000002</v>
      </c>
      <c r="H87" s="22">
        <f>H73+H68+H67+H65+H63+H37+H36+H29+H28+H21+H20+H13+H12+H7+H6+H75+H78+H59+H47+H44+H50+H53+H56</f>
        <v>112700.27860999999</v>
      </c>
      <c r="I87" s="22">
        <f>SUM(F87:H87)</f>
        <v>1736312.4378500001</v>
      </c>
      <c r="J87" s="5"/>
    </row>
    <row r="88" spans="1:10" x14ac:dyDescent="0.25">
      <c r="A88" s="43" t="s">
        <v>11</v>
      </c>
      <c r="B88" s="43"/>
      <c r="C88" s="43"/>
      <c r="D88" s="43"/>
      <c r="E88" s="43"/>
      <c r="F88" s="43"/>
      <c r="G88" s="43"/>
      <c r="H88" s="43"/>
      <c r="I88" s="43"/>
      <c r="J88" s="5"/>
    </row>
    <row r="89" spans="1:10" s="17" customFormat="1" ht="50.25" customHeight="1" x14ac:dyDescent="0.25">
      <c r="A89" s="23" t="s">
        <v>36</v>
      </c>
      <c r="B89" s="24" t="s">
        <v>18</v>
      </c>
      <c r="C89" s="53">
        <v>2020</v>
      </c>
      <c r="D89" s="53"/>
      <c r="E89" s="48" t="s">
        <v>29</v>
      </c>
      <c r="F89" s="21">
        <f>F90+F91</f>
        <v>32234.279589999998</v>
      </c>
      <c r="G89" s="21">
        <f>G90+G91</f>
        <v>40407.681280000004</v>
      </c>
      <c r="H89" s="21">
        <f>H90+H91</f>
        <v>0</v>
      </c>
      <c r="I89" s="21">
        <f t="shared" ref="I89:I108" si="10">F89+G89+H89</f>
        <v>72641.96087000001</v>
      </c>
    </row>
    <row r="90" spans="1:10" s="17" customFormat="1" ht="27" customHeight="1" x14ac:dyDescent="0.25">
      <c r="A90" s="23" t="s">
        <v>59</v>
      </c>
      <c r="B90" s="25" t="s">
        <v>35</v>
      </c>
      <c r="C90" s="54"/>
      <c r="D90" s="54"/>
      <c r="E90" s="49"/>
      <c r="F90" s="1">
        <f>6176.47059-769.293-205.67855+300</f>
        <v>5501.4990400000006</v>
      </c>
      <c r="G90" s="1">
        <f>6176.47059+599-203.47059-1.69781</f>
        <v>6570.3021900000003</v>
      </c>
      <c r="H90" s="1">
        <v>0</v>
      </c>
      <c r="I90" s="1">
        <f t="shared" si="10"/>
        <v>12071.801230000001</v>
      </c>
    </row>
    <row r="91" spans="1:10" s="17" customFormat="1" ht="27" customHeight="1" x14ac:dyDescent="0.25">
      <c r="A91" s="23" t="s">
        <v>82</v>
      </c>
      <c r="B91" s="25" t="s">
        <v>33</v>
      </c>
      <c r="C91" s="55"/>
      <c r="D91" s="55"/>
      <c r="E91" s="50"/>
      <c r="F91" s="1">
        <f>35000-4359.327-2540.13009-1367.76236</f>
        <v>26732.780549999999</v>
      </c>
      <c r="G91" s="1">
        <f>35000-1153-9.62091</f>
        <v>33837.379090000002</v>
      </c>
      <c r="H91" s="21">
        <v>0</v>
      </c>
      <c r="I91" s="21">
        <f>F91+G91+H91</f>
        <v>60570.159639999998</v>
      </c>
    </row>
    <row r="92" spans="1:10" ht="39" customHeight="1" x14ac:dyDescent="0.25">
      <c r="A92" s="14" t="s">
        <v>37</v>
      </c>
      <c r="B92" s="11" t="s">
        <v>24</v>
      </c>
      <c r="C92" s="45">
        <v>2021</v>
      </c>
      <c r="D92" s="45"/>
      <c r="E92" s="8" t="s">
        <v>29</v>
      </c>
      <c r="F92" s="9">
        <f>F93</f>
        <v>0</v>
      </c>
      <c r="G92" s="9">
        <f>G93</f>
        <v>0</v>
      </c>
      <c r="H92" s="9">
        <v>0</v>
      </c>
      <c r="I92" s="9">
        <f t="shared" si="10"/>
        <v>0</v>
      </c>
    </row>
    <row r="93" spans="1:10" ht="27" customHeight="1" x14ac:dyDescent="0.25">
      <c r="A93" s="14" t="s">
        <v>60</v>
      </c>
      <c r="B93" s="30" t="s">
        <v>35</v>
      </c>
      <c r="C93" s="45"/>
      <c r="D93" s="45"/>
      <c r="E93" s="29" t="s">
        <v>29</v>
      </c>
      <c r="F93" s="15">
        <v>0</v>
      </c>
      <c r="G93" s="15">
        <v>0</v>
      </c>
      <c r="H93" s="15">
        <v>0</v>
      </c>
      <c r="I93" s="15">
        <f t="shared" si="10"/>
        <v>0</v>
      </c>
    </row>
    <row r="94" spans="1:10" ht="39" customHeight="1" x14ac:dyDescent="0.25">
      <c r="A94" s="14" t="s">
        <v>61</v>
      </c>
      <c r="B94" s="11" t="s">
        <v>25</v>
      </c>
      <c r="C94" s="46">
        <v>2020</v>
      </c>
      <c r="D94" s="46"/>
      <c r="E94" s="8" t="s">
        <v>29</v>
      </c>
      <c r="F94" s="9">
        <f>F95+F96+F97</f>
        <v>4680.87943</v>
      </c>
      <c r="G94" s="9">
        <f t="shared" ref="G94:H94" si="11">G95+G96+G97</f>
        <v>0</v>
      </c>
      <c r="H94" s="9">
        <f t="shared" si="11"/>
        <v>0</v>
      </c>
      <c r="I94" s="9">
        <f t="shared" si="10"/>
        <v>4680.87943</v>
      </c>
    </row>
    <row r="95" spans="1:10" ht="27" customHeight="1" x14ac:dyDescent="0.25">
      <c r="A95" s="14" t="s">
        <v>62</v>
      </c>
      <c r="B95" s="30" t="s">
        <v>35</v>
      </c>
      <c r="C95" s="51"/>
      <c r="D95" s="51"/>
      <c r="E95" s="29" t="s">
        <v>29</v>
      </c>
      <c r="F95" s="15">
        <f>205.67855+300+267.30843</f>
        <v>772.9869799999999</v>
      </c>
      <c r="G95" s="15">
        <v>0</v>
      </c>
      <c r="H95" s="15">
        <v>0</v>
      </c>
      <c r="I95" s="15">
        <f t="shared" si="10"/>
        <v>772.9869799999999</v>
      </c>
    </row>
    <row r="96" spans="1:10" ht="27" customHeight="1" x14ac:dyDescent="0.25">
      <c r="A96" s="14" t="s">
        <v>136</v>
      </c>
      <c r="B96" s="30" t="s">
        <v>33</v>
      </c>
      <c r="C96" s="51"/>
      <c r="D96" s="51"/>
      <c r="E96" s="29" t="s">
        <v>29</v>
      </c>
      <c r="F96" s="15">
        <v>1367.7623599999999</v>
      </c>
      <c r="G96" s="15">
        <v>0</v>
      </c>
      <c r="H96" s="15">
        <v>0</v>
      </c>
      <c r="I96" s="15">
        <f>SUM(F96:H96)</f>
        <v>1367.7623599999999</v>
      </c>
    </row>
    <row r="97" spans="1:9" ht="27" customHeight="1" x14ac:dyDescent="0.25">
      <c r="A97" s="14" t="s">
        <v>137</v>
      </c>
      <c r="B97" s="30" t="s">
        <v>31</v>
      </c>
      <c r="C97" s="47"/>
      <c r="D97" s="47"/>
      <c r="E97" s="29" t="s">
        <v>29</v>
      </c>
      <c r="F97" s="15">
        <v>2540.1300900000001</v>
      </c>
      <c r="G97" s="15">
        <v>0</v>
      </c>
      <c r="H97" s="15">
        <v>0</v>
      </c>
      <c r="I97" s="15">
        <f>SUM(F97:H97)</f>
        <v>2540.1300900000001</v>
      </c>
    </row>
    <row r="98" spans="1:9" ht="39" customHeight="1" x14ac:dyDescent="0.25">
      <c r="A98" s="14" t="s">
        <v>63</v>
      </c>
      <c r="B98" s="11" t="s">
        <v>65</v>
      </c>
      <c r="C98" s="45">
        <v>2022</v>
      </c>
      <c r="D98" s="45"/>
      <c r="E98" s="8" t="s">
        <v>29</v>
      </c>
      <c r="F98" s="9">
        <f>F99</f>
        <v>0</v>
      </c>
      <c r="G98" s="9">
        <v>0</v>
      </c>
      <c r="H98" s="9">
        <f>H99</f>
        <v>0</v>
      </c>
      <c r="I98" s="9">
        <f t="shared" si="10"/>
        <v>0</v>
      </c>
    </row>
    <row r="99" spans="1:9" ht="27" customHeight="1" x14ac:dyDescent="0.25">
      <c r="A99" s="14" t="s">
        <v>64</v>
      </c>
      <c r="B99" s="30" t="s">
        <v>35</v>
      </c>
      <c r="C99" s="45"/>
      <c r="D99" s="45"/>
      <c r="E99" s="29" t="s">
        <v>29</v>
      </c>
      <c r="F99" s="15">
        <v>0</v>
      </c>
      <c r="G99" s="15">
        <v>0</v>
      </c>
      <c r="H99" s="15">
        <v>0</v>
      </c>
      <c r="I99" s="15">
        <f t="shared" si="10"/>
        <v>0</v>
      </c>
    </row>
    <row r="100" spans="1:9" ht="39" customHeight="1" x14ac:dyDescent="0.25">
      <c r="A100" s="14" t="s">
        <v>66</v>
      </c>
      <c r="B100" s="11" t="s">
        <v>26</v>
      </c>
      <c r="C100" s="45">
        <v>2022</v>
      </c>
      <c r="D100" s="45"/>
      <c r="E100" s="8" t="s">
        <v>29</v>
      </c>
      <c r="F100" s="9">
        <f>F101</f>
        <v>0</v>
      </c>
      <c r="G100" s="9">
        <v>0</v>
      </c>
      <c r="H100" s="9">
        <f>H101</f>
        <v>0</v>
      </c>
      <c r="I100" s="9">
        <f t="shared" si="10"/>
        <v>0</v>
      </c>
    </row>
    <row r="101" spans="1:9" ht="27" customHeight="1" x14ac:dyDescent="0.25">
      <c r="A101" s="14" t="s">
        <v>67</v>
      </c>
      <c r="B101" s="30" t="s">
        <v>35</v>
      </c>
      <c r="C101" s="45"/>
      <c r="D101" s="45"/>
      <c r="E101" s="29" t="s">
        <v>29</v>
      </c>
      <c r="F101" s="15">
        <v>0</v>
      </c>
      <c r="G101" s="15">
        <v>0</v>
      </c>
      <c r="H101" s="15">
        <v>0</v>
      </c>
      <c r="I101" s="15">
        <f t="shared" si="10"/>
        <v>0</v>
      </c>
    </row>
    <row r="102" spans="1:9" s="17" customFormat="1" ht="39" customHeight="1" x14ac:dyDescent="0.25">
      <c r="A102" s="23" t="s">
        <v>68</v>
      </c>
      <c r="B102" s="24" t="s">
        <v>17</v>
      </c>
      <c r="C102" s="53">
        <v>2020</v>
      </c>
      <c r="D102" s="53"/>
      <c r="E102" s="48" t="s">
        <v>29</v>
      </c>
      <c r="F102" s="21">
        <f>F103+F104</f>
        <v>25305.524699999998</v>
      </c>
      <c r="G102" s="21">
        <f>G103+G104</f>
        <v>4415.2632100000001</v>
      </c>
      <c r="H102" s="21">
        <f>H103+H104</f>
        <v>0</v>
      </c>
      <c r="I102" s="21">
        <f t="shared" si="10"/>
        <v>29720.787909999999</v>
      </c>
    </row>
    <row r="103" spans="1:9" s="17" customFormat="1" ht="27" customHeight="1" x14ac:dyDescent="0.25">
      <c r="A103" s="23" t="s">
        <v>69</v>
      </c>
      <c r="B103" s="25" t="s">
        <v>35</v>
      </c>
      <c r="C103" s="54"/>
      <c r="D103" s="54"/>
      <c r="E103" s="49"/>
      <c r="F103" s="1">
        <f>3761.64706+227.87724+0.0004</f>
        <v>3989.5246999999995</v>
      </c>
      <c r="G103" s="1">
        <f>727.02353-39.9863-24.74775</f>
        <v>662.28948000000003</v>
      </c>
      <c r="H103" s="1">
        <v>0</v>
      </c>
      <c r="I103" s="1">
        <f t="shared" si="10"/>
        <v>4651.8141799999994</v>
      </c>
    </row>
    <row r="104" spans="1:9" s="17" customFormat="1" ht="27" customHeight="1" x14ac:dyDescent="0.25">
      <c r="A104" s="23" t="s">
        <v>83</v>
      </c>
      <c r="B104" s="25" t="s">
        <v>33</v>
      </c>
      <c r="C104" s="55"/>
      <c r="D104" s="55"/>
      <c r="E104" s="50"/>
      <c r="F104" s="1">
        <v>21316</v>
      </c>
      <c r="G104" s="1">
        <f>4119.8-226.58902-140.23725</f>
        <v>3752.9737300000002</v>
      </c>
      <c r="H104" s="1">
        <v>0</v>
      </c>
      <c r="I104" s="1">
        <f t="shared" si="10"/>
        <v>25068.973730000002</v>
      </c>
    </row>
    <row r="105" spans="1:9" ht="47.25" customHeight="1" x14ac:dyDescent="0.25">
      <c r="A105" s="14" t="s">
        <v>72</v>
      </c>
      <c r="B105" s="11" t="s">
        <v>70</v>
      </c>
      <c r="C105" s="46">
        <v>2021</v>
      </c>
      <c r="D105" s="46"/>
      <c r="E105" s="8" t="s">
        <v>29</v>
      </c>
      <c r="F105" s="9">
        <f>F106</f>
        <v>0</v>
      </c>
      <c r="G105" s="9">
        <f>G106+G107+G108</f>
        <v>11003.636129999999</v>
      </c>
      <c r="H105" s="9">
        <f>H106</f>
        <v>0</v>
      </c>
      <c r="I105" s="9">
        <f t="shared" si="10"/>
        <v>11003.636129999999</v>
      </c>
    </row>
    <row r="106" spans="1:9" ht="27" customHeight="1" x14ac:dyDescent="0.25">
      <c r="A106" s="14" t="s">
        <v>73</v>
      </c>
      <c r="B106" s="30" t="s">
        <v>35</v>
      </c>
      <c r="C106" s="51"/>
      <c r="D106" s="51"/>
      <c r="E106" s="29" t="s">
        <v>29</v>
      </c>
      <c r="F106" s="15">
        <v>0</v>
      </c>
      <c r="G106" s="15">
        <f>543.94909+124.65432</f>
        <v>668.60340999999994</v>
      </c>
      <c r="H106" s="15">
        <v>0</v>
      </c>
      <c r="I106" s="15">
        <f t="shared" si="10"/>
        <v>668.60340999999994</v>
      </c>
    </row>
    <row r="107" spans="1:9" ht="27" customHeight="1" x14ac:dyDescent="0.25">
      <c r="A107" s="14" t="s">
        <v>146</v>
      </c>
      <c r="B107" s="30" t="s">
        <v>33</v>
      </c>
      <c r="C107" s="51"/>
      <c r="D107" s="51"/>
      <c r="E107" s="29" t="s">
        <v>29</v>
      </c>
      <c r="F107" s="15">
        <v>0</v>
      </c>
      <c r="G107" s="15">
        <v>3617.2615000000001</v>
      </c>
      <c r="H107" s="15">
        <v>0</v>
      </c>
      <c r="I107" s="15">
        <f t="shared" si="10"/>
        <v>3617.2615000000001</v>
      </c>
    </row>
    <row r="108" spans="1:9" ht="27" customHeight="1" x14ac:dyDescent="0.25">
      <c r="A108" s="14" t="s">
        <v>147</v>
      </c>
      <c r="B108" s="30" t="s">
        <v>31</v>
      </c>
      <c r="C108" s="47"/>
      <c r="D108" s="47"/>
      <c r="E108" s="29" t="s">
        <v>29</v>
      </c>
      <c r="F108" s="15">
        <v>0</v>
      </c>
      <c r="G108" s="15">
        <v>6717.7712199999996</v>
      </c>
      <c r="H108" s="15">
        <v>0</v>
      </c>
      <c r="I108" s="15">
        <f t="shared" si="10"/>
        <v>6717.7712199999996</v>
      </c>
    </row>
    <row r="109" spans="1:9" ht="51" customHeight="1" x14ac:dyDescent="0.25">
      <c r="A109" s="14" t="s">
        <v>84</v>
      </c>
      <c r="B109" s="11" t="s">
        <v>138</v>
      </c>
      <c r="C109" s="46">
        <v>2020</v>
      </c>
      <c r="D109" s="46"/>
      <c r="E109" s="8" t="s">
        <v>29</v>
      </c>
      <c r="F109" s="9">
        <f>F110+F111+F112</f>
        <v>2968.6050799999998</v>
      </c>
      <c r="G109" s="9">
        <f>G110+G111+G112</f>
        <v>0</v>
      </c>
      <c r="H109" s="9">
        <f>H110+H111+H112</f>
        <v>0</v>
      </c>
      <c r="I109" s="9">
        <f>F109+G109+H109</f>
        <v>2968.6050799999998</v>
      </c>
    </row>
    <row r="110" spans="1:9" ht="27" customHeight="1" x14ac:dyDescent="0.25">
      <c r="A110" s="14" t="s">
        <v>85</v>
      </c>
      <c r="B110" s="12" t="s">
        <v>31</v>
      </c>
      <c r="C110" s="51"/>
      <c r="D110" s="51"/>
      <c r="E110" s="29" t="s">
        <v>29</v>
      </c>
      <c r="F110" s="15">
        <v>1414.2249999999999</v>
      </c>
      <c r="G110" s="15">
        <v>0</v>
      </c>
      <c r="H110" s="15">
        <v>0</v>
      </c>
      <c r="I110" s="15">
        <f>F110+G110+H110</f>
        <v>1414.2249999999999</v>
      </c>
    </row>
    <row r="111" spans="1:9" ht="27" customHeight="1" x14ac:dyDescent="0.25">
      <c r="A111" s="14" t="s">
        <v>86</v>
      </c>
      <c r="B111" s="30" t="s">
        <v>33</v>
      </c>
      <c r="C111" s="51"/>
      <c r="D111" s="51"/>
      <c r="E111" s="29" t="s">
        <v>29</v>
      </c>
      <c r="F111" s="15">
        <v>761.50599999999997</v>
      </c>
      <c r="G111" s="15">
        <v>0</v>
      </c>
      <c r="H111" s="15">
        <v>0</v>
      </c>
      <c r="I111" s="15">
        <f>F111+G111+H111</f>
        <v>761.50599999999997</v>
      </c>
    </row>
    <row r="112" spans="1:9" ht="27" customHeight="1" x14ac:dyDescent="0.25">
      <c r="A112" s="14" t="s">
        <v>87</v>
      </c>
      <c r="B112" s="30" t="s">
        <v>35</v>
      </c>
      <c r="C112" s="47"/>
      <c r="D112" s="47"/>
      <c r="E112" s="29" t="s">
        <v>29</v>
      </c>
      <c r="F112" s="15">
        <f>241.75+12+120.87355+30.25213+88-0.0016+300</f>
        <v>792.87408000000005</v>
      </c>
      <c r="G112" s="15">
        <v>0</v>
      </c>
      <c r="H112" s="15">
        <v>0</v>
      </c>
      <c r="I112" s="15">
        <f>F112+G112+H112</f>
        <v>792.87408000000005</v>
      </c>
    </row>
    <row r="113" spans="1:9" ht="79.5" customHeight="1" x14ac:dyDescent="0.25">
      <c r="A113" s="14" t="s">
        <v>107</v>
      </c>
      <c r="B113" s="11" t="s">
        <v>134</v>
      </c>
      <c r="C113" s="46">
        <v>2020</v>
      </c>
      <c r="D113" s="46"/>
      <c r="E113" s="8" t="s">
        <v>29</v>
      </c>
      <c r="F113" s="9">
        <f>F114+F115</f>
        <v>5442.7124899999999</v>
      </c>
      <c r="G113" s="9">
        <f>G114+G115</f>
        <v>0</v>
      </c>
      <c r="H113" s="9">
        <f>H114+H115</f>
        <v>0</v>
      </c>
      <c r="I113" s="9">
        <f>SUM(F113:H113)</f>
        <v>5442.7124899999999</v>
      </c>
    </row>
    <row r="114" spans="1:9" ht="27" customHeight="1" x14ac:dyDescent="0.25">
      <c r="A114" s="14" t="s">
        <v>108</v>
      </c>
      <c r="B114" s="30" t="s">
        <v>33</v>
      </c>
      <c r="C114" s="51"/>
      <c r="D114" s="51"/>
      <c r="E114" s="29" t="s">
        <v>29</v>
      </c>
      <c r="F114" s="15">
        <f>0+4359.327</f>
        <v>4359.3270000000002</v>
      </c>
      <c r="G114" s="15">
        <v>0</v>
      </c>
      <c r="H114" s="15">
        <v>0</v>
      </c>
      <c r="I114" s="15">
        <f>SUM(F114:H114)</f>
        <v>4359.3270000000002</v>
      </c>
    </row>
    <row r="115" spans="1:9" ht="27" customHeight="1" x14ac:dyDescent="0.25">
      <c r="A115" s="14" t="s">
        <v>109</v>
      </c>
      <c r="B115" s="30" t="s">
        <v>35</v>
      </c>
      <c r="C115" s="47"/>
      <c r="D115" s="47"/>
      <c r="E115" s="29" t="s">
        <v>29</v>
      </c>
      <c r="F115" s="15">
        <f>14.09249+769.293+300</f>
        <v>1083.3854900000001</v>
      </c>
      <c r="G115" s="15">
        <v>0</v>
      </c>
      <c r="H115" s="15">
        <v>0</v>
      </c>
      <c r="I115" s="15">
        <f>SUM(F115:H115)</f>
        <v>1083.3854900000001</v>
      </c>
    </row>
    <row r="116" spans="1:9" ht="37.5" customHeight="1" x14ac:dyDescent="0.25">
      <c r="A116" s="14" t="s">
        <v>149</v>
      </c>
      <c r="B116" s="11" t="s">
        <v>155</v>
      </c>
      <c r="C116" s="46">
        <v>2021</v>
      </c>
      <c r="D116" s="46"/>
      <c r="E116" s="8" t="s">
        <v>29</v>
      </c>
      <c r="F116" s="9">
        <f>F117</f>
        <v>0</v>
      </c>
      <c r="G116" s="9">
        <f>G117</f>
        <v>42.837900000000005</v>
      </c>
      <c r="H116" s="9">
        <f>H117</f>
        <v>0</v>
      </c>
      <c r="I116" s="9">
        <f t="shared" ref="I116:I121" si="12">F116+G116+H116</f>
        <v>42.837900000000005</v>
      </c>
    </row>
    <row r="117" spans="1:9" ht="27" customHeight="1" x14ac:dyDescent="0.25">
      <c r="A117" s="14" t="s">
        <v>150</v>
      </c>
      <c r="B117" s="30" t="s">
        <v>151</v>
      </c>
      <c r="C117" s="47"/>
      <c r="D117" s="47"/>
      <c r="E117" s="29" t="s">
        <v>29</v>
      </c>
      <c r="F117" s="15">
        <v>0</v>
      </c>
      <c r="G117" s="15">
        <f>122.54209-79.70419</f>
        <v>42.837900000000005</v>
      </c>
      <c r="H117" s="15">
        <v>0</v>
      </c>
      <c r="I117" s="15">
        <f t="shared" si="12"/>
        <v>42.837900000000005</v>
      </c>
    </row>
    <row r="118" spans="1:9" ht="54.75" customHeight="1" x14ac:dyDescent="0.25">
      <c r="A118" s="14" t="s">
        <v>153</v>
      </c>
      <c r="B118" s="11" t="s">
        <v>152</v>
      </c>
      <c r="C118" s="45">
        <v>2021</v>
      </c>
      <c r="D118" s="45"/>
      <c r="E118" s="8" t="s">
        <v>29</v>
      </c>
      <c r="F118" s="9">
        <f>F119</f>
        <v>0</v>
      </c>
      <c r="G118" s="9">
        <f>G119</f>
        <v>50</v>
      </c>
      <c r="H118" s="9">
        <f>H119</f>
        <v>0</v>
      </c>
      <c r="I118" s="9">
        <f t="shared" si="12"/>
        <v>50</v>
      </c>
    </row>
    <row r="119" spans="1:9" ht="27" customHeight="1" x14ac:dyDescent="0.25">
      <c r="A119" s="14" t="s">
        <v>154</v>
      </c>
      <c r="B119" s="30" t="s">
        <v>151</v>
      </c>
      <c r="C119" s="45"/>
      <c r="D119" s="45"/>
      <c r="E119" s="29" t="s">
        <v>29</v>
      </c>
      <c r="F119" s="15">
        <v>0</v>
      </c>
      <c r="G119" s="15">
        <v>50</v>
      </c>
      <c r="H119" s="15">
        <v>0</v>
      </c>
      <c r="I119" s="15">
        <f t="shared" si="12"/>
        <v>50</v>
      </c>
    </row>
    <row r="120" spans="1:9" ht="39" customHeight="1" x14ac:dyDescent="0.25">
      <c r="A120" s="14" t="s">
        <v>156</v>
      </c>
      <c r="B120" s="11" t="s">
        <v>157</v>
      </c>
      <c r="C120" s="45">
        <v>2021</v>
      </c>
      <c r="D120" s="45"/>
      <c r="E120" s="8" t="s">
        <v>29</v>
      </c>
      <c r="F120" s="9">
        <f>F121</f>
        <v>0</v>
      </c>
      <c r="G120" s="9">
        <f>G121</f>
        <v>40</v>
      </c>
      <c r="H120" s="9">
        <f>H121</f>
        <v>0</v>
      </c>
      <c r="I120" s="9">
        <f t="shared" si="12"/>
        <v>40</v>
      </c>
    </row>
    <row r="121" spans="1:9" ht="27" customHeight="1" x14ac:dyDescent="0.25">
      <c r="A121" s="14" t="s">
        <v>158</v>
      </c>
      <c r="B121" s="30" t="s">
        <v>151</v>
      </c>
      <c r="C121" s="45"/>
      <c r="D121" s="45"/>
      <c r="E121" s="29" t="s">
        <v>29</v>
      </c>
      <c r="F121" s="15">
        <v>0</v>
      </c>
      <c r="G121" s="15">
        <v>40</v>
      </c>
      <c r="H121" s="15">
        <v>0</v>
      </c>
      <c r="I121" s="15">
        <f t="shared" si="12"/>
        <v>40</v>
      </c>
    </row>
    <row r="122" spans="1:9" s="17" customFormat="1" ht="39" customHeight="1" x14ac:dyDescent="0.25">
      <c r="A122" s="23" t="s">
        <v>159</v>
      </c>
      <c r="B122" s="24" t="s">
        <v>160</v>
      </c>
      <c r="C122" s="52">
        <v>2021</v>
      </c>
      <c r="D122" s="52"/>
      <c r="E122" s="20" t="s">
        <v>29</v>
      </c>
      <c r="F122" s="21">
        <f>F123+F124</f>
        <v>0</v>
      </c>
      <c r="G122" s="21">
        <f>G123+G124</f>
        <v>1145.56125</v>
      </c>
      <c r="H122" s="21">
        <f>H123+H124</f>
        <v>0</v>
      </c>
      <c r="I122" s="21">
        <f>SUM(F122:H122)</f>
        <v>1145.56125</v>
      </c>
    </row>
    <row r="123" spans="1:9" s="17" customFormat="1" ht="30" customHeight="1" x14ac:dyDescent="0.25">
      <c r="A123" s="23" t="s">
        <v>161</v>
      </c>
      <c r="B123" s="25" t="s">
        <v>33</v>
      </c>
      <c r="C123" s="52"/>
      <c r="D123" s="52"/>
      <c r="E123" s="18" t="s">
        <v>29</v>
      </c>
      <c r="F123" s="1">
        <v>0</v>
      </c>
      <c r="G123" s="1">
        <f>3570-2694.36315</f>
        <v>875.63684999999987</v>
      </c>
      <c r="H123" s="1">
        <v>0</v>
      </c>
      <c r="I123" s="1">
        <f>SUM(F123:H123)</f>
        <v>875.63684999999987</v>
      </c>
    </row>
    <row r="124" spans="1:9" s="17" customFormat="1" ht="27" customHeight="1" x14ac:dyDescent="0.25">
      <c r="A124" s="23" t="s">
        <v>162</v>
      </c>
      <c r="B124" s="25" t="s">
        <v>151</v>
      </c>
      <c r="C124" s="52"/>
      <c r="D124" s="52"/>
      <c r="E124" s="18" t="s">
        <v>29</v>
      </c>
      <c r="F124" s="1">
        <v>0</v>
      </c>
      <c r="G124" s="1">
        <f>115.40025+630-475.47585</f>
        <v>269.92440000000005</v>
      </c>
      <c r="H124" s="1">
        <v>0</v>
      </c>
      <c r="I124" s="1">
        <f>SUM(F124:H124)</f>
        <v>269.92440000000005</v>
      </c>
    </row>
    <row r="125" spans="1:9" s="26" customFormat="1" x14ac:dyDescent="0.25">
      <c r="A125" s="42" t="s">
        <v>71</v>
      </c>
      <c r="B125" s="42"/>
      <c r="C125" s="42"/>
      <c r="D125" s="42"/>
      <c r="E125" s="42"/>
      <c r="F125" s="19">
        <f>F105+F102+F100+F98+F94+F89+F92+F109+F113+F116+F118+F120+F122</f>
        <v>70632.00129</v>
      </c>
      <c r="G125" s="19">
        <f>G105+G102+G100+G98+G94+G89+G92+G109+G113+G116+G118+G120+G122</f>
        <v>57104.979770000005</v>
      </c>
      <c r="H125" s="19">
        <f>H105+H102+H100+H98+H94+H89+H92+H109+H113</f>
        <v>0</v>
      </c>
      <c r="I125" s="19">
        <f>I105+I102+I100+I98+I94+I89+I92+I109+I113+I116+I118+I120+I122</f>
        <v>127736.98106000001</v>
      </c>
    </row>
    <row r="126" spans="1:9" x14ac:dyDescent="0.25">
      <c r="A126" s="43" t="s">
        <v>14</v>
      </c>
      <c r="B126" s="44"/>
      <c r="C126" s="44"/>
      <c r="D126" s="44"/>
      <c r="E126" s="44"/>
      <c r="F126" s="44"/>
      <c r="G126" s="44"/>
      <c r="H126" s="44"/>
      <c r="I126" s="44"/>
    </row>
    <row r="127" spans="1:9" ht="104.25" customHeight="1" x14ac:dyDescent="0.25">
      <c r="A127" s="14" t="s">
        <v>74</v>
      </c>
      <c r="B127" s="11" t="s">
        <v>15</v>
      </c>
      <c r="C127" s="45" t="s">
        <v>16</v>
      </c>
      <c r="D127" s="46"/>
      <c r="E127" s="8" t="s">
        <v>30</v>
      </c>
      <c r="F127" s="9">
        <f>F128</f>
        <v>11159.83647</v>
      </c>
      <c r="G127" s="9">
        <f>G128</f>
        <v>9023.7570300000007</v>
      </c>
      <c r="H127" s="9">
        <f>H128</f>
        <v>8000</v>
      </c>
      <c r="I127" s="27">
        <f>SUM(F127:H127)</f>
        <v>28183.593500000003</v>
      </c>
    </row>
    <row r="128" spans="1:9" ht="27" customHeight="1" x14ac:dyDescent="0.25">
      <c r="A128" s="14" t="s">
        <v>75</v>
      </c>
      <c r="B128" s="30" t="s">
        <v>35</v>
      </c>
      <c r="C128" s="45"/>
      <c r="D128" s="47"/>
      <c r="E128" s="29" t="s">
        <v>30</v>
      </c>
      <c r="F128" s="15">
        <f>7950+2183.42701+1026.40946</f>
        <v>11159.83647</v>
      </c>
      <c r="G128" s="15">
        <f>8000+2000-976.24297</f>
        <v>9023.7570300000007</v>
      </c>
      <c r="H128" s="15">
        <v>8000</v>
      </c>
      <c r="I128" s="15">
        <f>F128+G128+H128</f>
        <v>28183.593500000003</v>
      </c>
    </row>
    <row r="129" spans="1:10" ht="27" customHeight="1" x14ac:dyDescent="0.25">
      <c r="A129" s="14" t="s">
        <v>110</v>
      </c>
      <c r="B129" s="11" t="s">
        <v>111</v>
      </c>
      <c r="C129" s="46" t="s">
        <v>16</v>
      </c>
      <c r="D129" s="46"/>
      <c r="E129" s="8" t="s">
        <v>29</v>
      </c>
      <c r="F129" s="9">
        <f>F130+F131</f>
        <v>6980.52603</v>
      </c>
      <c r="G129" s="9">
        <f>G130+G131</f>
        <v>11753.72379</v>
      </c>
      <c r="H129" s="9">
        <f>H130+H131</f>
        <v>0</v>
      </c>
      <c r="I129" s="9">
        <f>F129+G129+H129</f>
        <v>18734.249820000001</v>
      </c>
    </row>
    <row r="130" spans="1:10" ht="27" customHeight="1" x14ac:dyDescent="0.25">
      <c r="A130" s="14" t="s">
        <v>112</v>
      </c>
      <c r="B130" s="30" t="s">
        <v>35</v>
      </c>
      <c r="C130" s="51"/>
      <c r="D130" s="51"/>
      <c r="E130" s="29" t="s">
        <v>29</v>
      </c>
      <c r="F130" s="15">
        <f>732.33714+147.40951+14.6469+ 4970.79459+1115.33789</f>
        <v>6980.52603</v>
      </c>
      <c r="G130" s="15">
        <v>0</v>
      </c>
      <c r="H130" s="15">
        <v>0</v>
      </c>
      <c r="I130" s="15">
        <f>SUM(F130:H130)</f>
        <v>6980.52603</v>
      </c>
    </row>
    <row r="131" spans="1:10" ht="27" customHeight="1" x14ac:dyDescent="0.25">
      <c r="A131" s="14" t="s">
        <v>148</v>
      </c>
      <c r="B131" s="30" t="s">
        <v>35</v>
      </c>
      <c r="C131" s="47"/>
      <c r="D131" s="47"/>
      <c r="E131" s="29" t="s">
        <v>30</v>
      </c>
      <c r="F131" s="15">
        <v>0</v>
      </c>
      <c r="G131" s="15">
        <v>11753.72379</v>
      </c>
      <c r="H131" s="15">
        <v>0</v>
      </c>
      <c r="I131" s="15">
        <f>SUM(F131:H131)</f>
        <v>11753.72379</v>
      </c>
    </row>
    <row r="132" spans="1:10" s="26" customFormat="1" x14ac:dyDescent="0.25">
      <c r="A132" s="42" t="s">
        <v>76</v>
      </c>
      <c r="B132" s="42"/>
      <c r="C132" s="42"/>
      <c r="D132" s="42"/>
      <c r="E132" s="42"/>
      <c r="F132" s="19">
        <f>F127+F129</f>
        <v>18140.362499999999</v>
      </c>
      <c r="G132" s="19">
        <f>G127+G129</f>
        <v>20777.480820000001</v>
      </c>
      <c r="H132" s="19">
        <f>H127+H129</f>
        <v>8000</v>
      </c>
      <c r="I132" s="19">
        <f>I127+I129</f>
        <v>46917.84332</v>
      </c>
    </row>
    <row r="133" spans="1:10" x14ac:dyDescent="0.25">
      <c r="A133" s="42" t="s">
        <v>12</v>
      </c>
      <c r="B133" s="42"/>
      <c r="C133" s="42"/>
      <c r="D133" s="42"/>
      <c r="E133" s="42"/>
      <c r="F133" s="19">
        <f>F132+F125+F87</f>
        <v>1198202.6845600002</v>
      </c>
      <c r="G133" s="19">
        <f>G87+G125+G132</f>
        <v>592064.29906000011</v>
      </c>
      <c r="H133" s="19">
        <f>H132+H125+H87</f>
        <v>120700.27860999999</v>
      </c>
      <c r="I133" s="19">
        <f>SUM(F133:H133)</f>
        <v>1910967.2622300002</v>
      </c>
      <c r="J133" s="5"/>
    </row>
    <row r="136" spans="1:10" x14ac:dyDescent="0.25">
      <c r="C136" s="3" t="s">
        <v>131</v>
      </c>
    </row>
    <row r="137" spans="1:10" x14ac:dyDescent="0.25">
      <c r="C137" s="13" t="s">
        <v>77</v>
      </c>
      <c r="D137" s="6">
        <f>I14+I22+I30+I38+I110+I97+I108</f>
        <v>554471.54768999992</v>
      </c>
      <c r="F137" s="2" t="s">
        <v>80</v>
      </c>
      <c r="G137" s="2" t="s">
        <v>79</v>
      </c>
    </row>
    <row r="138" spans="1:10" x14ac:dyDescent="0.25">
      <c r="C138" s="13" t="s">
        <v>13</v>
      </c>
      <c r="D138" s="6">
        <f>I8+I16+I24+I32+I40+I69+I111+I104+I91+I79+I76+I61+I46+I49+I52+I55+I58+I114+I96+I85+I82+I107+I123</f>
        <v>1196743.4568499997</v>
      </c>
      <c r="F138" s="5">
        <f>F10+F11+F18+F19+F26+F27+F34+F35+F42+F43+F64+F66+F71+F72+F90+F74+F93+F95+F99+F101+F103+F106+F128+F112+F77+F80+F60+F48+F45+F115+F130+F51+F54+F57+F83+F86</f>
        <v>89583.020179999978</v>
      </c>
      <c r="G138" s="41">
        <f>G10+G11+G18+G19+G26+G27+G34+G35+G42+G43+G64+G66+G71+G72+G90+G74+G93+G95+G99+G101+G103+G106+G128+G112+G77+G80+G60+G48+G45+G115+G130+G51+G54+G57+G83+G86+G131+G117+G119+G124+G121</f>
        <v>56534.22358000002</v>
      </c>
      <c r="H138" s="5">
        <f>H10+H11+H18+H19+H26+H27+H34+H35+H42+H43+H64+H66+H71+H72+H90+H74+H93+H95+H99+H101+H103+H106+H128+H112+H77+H80+H60+H48+H45+H115+H130+H51+H54+H57+H83+H86</f>
        <v>13635.013929999999</v>
      </c>
      <c r="I138" s="7">
        <f>F138+G138+H138+F139+G139+H139</f>
        <v>1910967.2622300002</v>
      </c>
    </row>
    <row r="139" spans="1:10" x14ac:dyDescent="0.25">
      <c r="C139" s="13" t="s">
        <v>78</v>
      </c>
      <c r="D139" s="6">
        <f>I128+I106+I103+I101+I99+I95+I93+I90+I74+I71+I66+I64+I42+I34+I26+I18+I10+I112+I77+I80+I60+I48+I45+I115+I130+I51+I54+I57+I86+I83+I131+I124+I116+I119+I121</f>
        <v>159752.25769</v>
      </c>
      <c r="F139" s="5">
        <f>F8+F9+F14+F15+F16+F17+F22+F23+F24+F25+F30+F31+F32+F33+F38+F39+F40+F41+F69+F70+F111+F110+F104+F91+F76+F79+F61+F46+F49+F52+F55+F58+F114+F96+F97+F85+F82</f>
        <v>1108619.6643800002</v>
      </c>
      <c r="G139" s="5">
        <f>G8+G9+G14+G15+G16+G17+G22+G23+G24+G25+G30+G31+G32+G33+G38+G39+G40+G41+G69+G70+G111+G110+G104+G91+G76+G79+G61+G46+G49+G52+G55+G58+G114+G96+G97+G85+G82+G107+G108+G123</f>
        <v>535530.07548000012</v>
      </c>
      <c r="H139" s="5">
        <f>H8+H9+H14+H15+H16+H17+H22+H23+H24+H25+H30+H31+H32+H33+H38+H39+H40+H41+H69+H70+H111+H110+H104+H91+H76+H79+H61+H46+H49+H52+H55+H58+H114+H96+H97+H85+H82</f>
        <v>107065.26467999999</v>
      </c>
    </row>
    <row r="140" spans="1:10" x14ac:dyDescent="0.25">
      <c r="C140" s="13" t="s">
        <v>132</v>
      </c>
      <c r="D140" s="6">
        <f>SUM(D137:D139)</f>
        <v>1910967.2622299995</v>
      </c>
    </row>
    <row r="142" spans="1:10" x14ac:dyDescent="0.25">
      <c r="E142" s="5">
        <f>D138+D137</f>
        <v>1751215.0045399996</v>
      </c>
      <c r="G142" s="5"/>
    </row>
    <row r="143" spans="1:10" x14ac:dyDescent="0.25">
      <c r="F143" s="5"/>
      <c r="I143" s="7"/>
    </row>
    <row r="146" spans="3:7" x14ac:dyDescent="0.25">
      <c r="C146" s="13" t="s">
        <v>133</v>
      </c>
      <c r="D146" s="6">
        <f>SUM(D137+D138)</f>
        <v>1751215.0045399996</v>
      </c>
    </row>
    <row r="147" spans="3:7" x14ac:dyDescent="0.25">
      <c r="G147" s="33"/>
    </row>
    <row r="149" spans="3:7" x14ac:dyDescent="0.25">
      <c r="D149" s="6"/>
    </row>
    <row r="150" spans="3:7" x14ac:dyDescent="0.25">
      <c r="E150" s="16"/>
    </row>
    <row r="152" spans="3:7" x14ac:dyDescent="0.25">
      <c r="G152" s="32"/>
    </row>
    <row r="153" spans="3:7" x14ac:dyDescent="0.25">
      <c r="G153" s="33"/>
    </row>
  </sheetData>
  <mergeCells count="147">
    <mergeCell ref="F1:I1"/>
    <mergeCell ref="A2:A4"/>
    <mergeCell ref="B2:B4"/>
    <mergeCell ref="C2:C4"/>
    <mergeCell ref="D2:D4"/>
    <mergeCell ref="E2:E4"/>
    <mergeCell ref="F2:I3"/>
    <mergeCell ref="A5:I5"/>
    <mergeCell ref="A6:A7"/>
    <mergeCell ref="B6:B7"/>
    <mergeCell ref="C6:C11"/>
    <mergeCell ref="D6:D11"/>
    <mergeCell ref="I6:I7"/>
    <mergeCell ref="A8:A9"/>
    <mergeCell ref="B8:B9"/>
    <mergeCell ref="I8:I9"/>
    <mergeCell ref="A10:A11"/>
    <mergeCell ref="B10:B11"/>
    <mergeCell ref="I10:I11"/>
    <mergeCell ref="D12:D19"/>
    <mergeCell ref="I12:I13"/>
    <mergeCell ref="A14:A15"/>
    <mergeCell ref="B14:B15"/>
    <mergeCell ref="I14:I15"/>
    <mergeCell ref="A16:A17"/>
    <mergeCell ref="B16:B17"/>
    <mergeCell ref="I16:I17"/>
    <mergeCell ref="A18:A19"/>
    <mergeCell ref="B18:B19"/>
    <mergeCell ref="I18:I19"/>
    <mergeCell ref="A12:A13"/>
    <mergeCell ref="B12:B13"/>
    <mergeCell ref="C12:C19"/>
    <mergeCell ref="A20:A21"/>
    <mergeCell ref="B20:B21"/>
    <mergeCell ref="C20:C27"/>
    <mergeCell ref="D20:D27"/>
    <mergeCell ref="I20:I21"/>
    <mergeCell ref="A22:A23"/>
    <mergeCell ref="B22:B23"/>
    <mergeCell ref="I22:I23"/>
    <mergeCell ref="A24:A25"/>
    <mergeCell ref="B24:B25"/>
    <mergeCell ref="B30:B31"/>
    <mergeCell ref="I30:I31"/>
    <mergeCell ref="A32:A33"/>
    <mergeCell ref="B32:B33"/>
    <mergeCell ref="I32:I33"/>
    <mergeCell ref="A34:A35"/>
    <mergeCell ref="B34:B35"/>
    <mergeCell ref="I34:I35"/>
    <mergeCell ref="I24:I25"/>
    <mergeCell ref="A26:A27"/>
    <mergeCell ref="B26:B27"/>
    <mergeCell ref="I26:I27"/>
    <mergeCell ref="A28:A29"/>
    <mergeCell ref="B28:B29"/>
    <mergeCell ref="C28:C35"/>
    <mergeCell ref="D28:D35"/>
    <mergeCell ref="I28:I29"/>
    <mergeCell ref="A30:A31"/>
    <mergeCell ref="A36:A37"/>
    <mergeCell ref="B36:B37"/>
    <mergeCell ref="C36:C43"/>
    <mergeCell ref="D36:D43"/>
    <mergeCell ref="I36:I37"/>
    <mergeCell ref="A38:A39"/>
    <mergeCell ref="B38:B39"/>
    <mergeCell ref="I38:I39"/>
    <mergeCell ref="A40:A41"/>
    <mergeCell ref="B40:B41"/>
    <mergeCell ref="C47:C49"/>
    <mergeCell ref="D47:D49"/>
    <mergeCell ref="C50:C52"/>
    <mergeCell ref="D50:D52"/>
    <mergeCell ref="C53:C55"/>
    <mergeCell ref="D53:D55"/>
    <mergeCell ref="I40:I41"/>
    <mergeCell ref="A42:A43"/>
    <mergeCell ref="B42:B43"/>
    <mergeCell ref="I42:I43"/>
    <mergeCell ref="C44:C46"/>
    <mergeCell ref="D44:D46"/>
    <mergeCell ref="C65:C66"/>
    <mergeCell ref="D65:D66"/>
    <mergeCell ref="A67:A68"/>
    <mergeCell ref="B67:B68"/>
    <mergeCell ref="C67:C72"/>
    <mergeCell ref="D67:D72"/>
    <mergeCell ref="C56:C58"/>
    <mergeCell ref="D56:D58"/>
    <mergeCell ref="C59:C61"/>
    <mergeCell ref="D59:D61"/>
    <mergeCell ref="A62:I62"/>
    <mergeCell ref="C63:C64"/>
    <mergeCell ref="D63:D64"/>
    <mergeCell ref="C73:C74"/>
    <mergeCell ref="D73:D74"/>
    <mergeCell ref="C75:C77"/>
    <mergeCell ref="C78:C80"/>
    <mergeCell ref="A87:E87"/>
    <mergeCell ref="A88:I88"/>
    <mergeCell ref="I67:I68"/>
    <mergeCell ref="A69:A70"/>
    <mergeCell ref="B69:B70"/>
    <mergeCell ref="I69:I70"/>
    <mergeCell ref="A71:A72"/>
    <mergeCell ref="B71:B72"/>
    <mergeCell ref="I71:I72"/>
    <mergeCell ref="C81:C83"/>
    <mergeCell ref="C84:C86"/>
    <mergeCell ref="C98:C99"/>
    <mergeCell ref="D98:D99"/>
    <mergeCell ref="C100:C101"/>
    <mergeCell ref="D100:D101"/>
    <mergeCell ref="C102:C104"/>
    <mergeCell ref="D102:D104"/>
    <mergeCell ref="C89:C91"/>
    <mergeCell ref="D89:D91"/>
    <mergeCell ref="E89:E91"/>
    <mergeCell ref="C92:C93"/>
    <mergeCell ref="D92:D93"/>
    <mergeCell ref="C94:C97"/>
    <mergeCell ref="D94:D97"/>
    <mergeCell ref="A132:E132"/>
    <mergeCell ref="A133:E133"/>
    <mergeCell ref="A125:E125"/>
    <mergeCell ref="A126:I126"/>
    <mergeCell ref="C127:C128"/>
    <mergeCell ref="D127:D128"/>
    <mergeCell ref="E102:E104"/>
    <mergeCell ref="C109:C112"/>
    <mergeCell ref="D109:D112"/>
    <mergeCell ref="C113:C115"/>
    <mergeCell ref="D113:D115"/>
    <mergeCell ref="C105:C108"/>
    <mergeCell ref="D105:D108"/>
    <mergeCell ref="C129:C131"/>
    <mergeCell ref="D129:D131"/>
    <mergeCell ref="C116:C117"/>
    <mergeCell ref="D116:D117"/>
    <mergeCell ref="C118:C119"/>
    <mergeCell ref="C120:C121"/>
    <mergeCell ref="C122:C124"/>
    <mergeCell ref="D118:D119"/>
    <mergeCell ref="D120:D121"/>
    <mergeCell ref="D122:D124"/>
  </mergeCells>
  <pageMargins left="0.23622047244094491" right="0.23622047244094491" top="0.74803149606299213" bottom="0.74803149606299213" header="0.31496062992125984" footer="0.31496062992125984"/>
  <pageSetup paperSize="9" scale="58" orientation="landscape" verticalDpi="1200" r:id="rId1"/>
  <rowBreaks count="1" manualBreakCount="1">
    <brk id="10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52"/>
  <sheetViews>
    <sheetView tabSelected="1" view="pageBreakPreview" zoomScaleNormal="80" zoomScaleSheetLayoutView="100" workbookViewId="0">
      <selection activeCell="A107" sqref="A107:XFD123"/>
    </sheetView>
  </sheetViews>
  <sheetFormatPr defaultRowHeight="15" x14ac:dyDescent="0.25"/>
  <cols>
    <col min="1" max="1" width="6.85546875" style="3" bestFit="1" customWidth="1"/>
    <col min="2" max="2" width="68.140625" style="2" customWidth="1"/>
    <col min="3" max="3" width="14.5703125" style="3" customWidth="1"/>
    <col min="4" max="4" width="21.140625" style="3" customWidth="1"/>
    <col min="5" max="5" width="24" style="2" customWidth="1"/>
    <col min="6" max="6" width="17.28515625" style="2" customWidth="1"/>
    <col min="7" max="7" width="18.5703125" style="2" customWidth="1"/>
    <col min="8" max="8" width="18.140625" style="2" bestFit="1" customWidth="1"/>
    <col min="9" max="9" width="19.140625" style="26" bestFit="1" customWidth="1"/>
    <col min="10" max="10" width="17.42578125" style="2" bestFit="1" customWidth="1"/>
    <col min="11" max="11" width="18" style="2" bestFit="1" customWidth="1"/>
    <col min="12" max="15" width="9.140625" style="2"/>
    <col min="16" max="16" width="15.7109375" style="2" customWidth="1"/>
    <col min="17" max="16384" width="9.140625" style="2"/>
  </cols>
  <sheetData>
    <row r="1" spans="1:11" ht="86.25" customHeight="1" x14ac:dyDescent="0.25">
      <c r="F1" s="97" t="s">
        <v>135</v>
      </c>
      <c r="G1" s="98"/>
      <c r="H1" s="98"/>
      <c r="I1" s="98"/>
    </row>
    <row r="3" spans="1:11" ht="91.5" customHeight="1" x14ac:dyDescent="0.25">
      <c r="F3" s="84" t="s">
        <v>81</v>
      </c>
      <c r="G3" s="85"/>
      <c r="H3" s="85"/>
      <c r="I3" s="85"/>
    </row>
    <row r="4" spans="1:11" ht="15.75" customHeight="1" x14ac:dyDescent="0.25">
      <c r="A4" s="68" t="s">
        <v>0</v>
      </c>
      <c r="B4" s="68" t="s">
        <v>1</v>
      </c>
      <c r="C4" s="68" t="s">
        <v>2</v>
      </c>
      <c r="D4" s="68" t="s">
        <v>3</v>
      </c>
      <c r="E4" s="68" t="s">
        <v>27</v>
      </c>
      <c r="F4" s="88" t="s">
        <v>28</v>
      </c>
      <c r="G4" s="89"/>
      <c r="H4" s="89"/>
      <c r="I4" s="90"/>
    </row>
    <row r="5" spans="1:11" ht="15.75" customHeight="1" x14ac:dyDescent="0.25">
      <c r="A5" s="69"/>
      <c r="B5" s="86"/>
      <c r="C5" s="69"/>
      <c r="D5" s="69"/>
      <c r="E5" s="69"/>
      <c r="F5" s="91"/>
      <c r="G5" s="92"/>
      <c r="H5" s="92"/>
      <c r="I5" s="93"/>
    </row>
    <row r="6" spans="1:11" ht="15.75" x14ac:dyDescent="0.25">
      <c r="A6" s="70"/>
      <c r="B6" s="87"/>
      <c r="C6" s="70"/>
      <c r="D6" s="70"/>
      <c r="E6" s="70"/>
      <c r="F6" s="38">
        <v>2020</v>
      </c>
      <c r="G6" s="38">
        <v>2021</v>
      </c>
      <c r="H6" s="38">
        <v>2022</v>
      </c>
      <c r="I6" s="38" t="s">
        <v>48</v>
      </c>
    </row>
    <row r="7" spans="1:11" ht="15.75" hidden="1" x14ac:dyDescent="0.25">
      <c r="A7" s="94" t="s">
        <v>4</v>
      </c>
      <c r="B7" s="95"/>
      <c r="C7" s="95"/>
      <c r="D7" s="95"/>
      <c r="E7" s="95"/>
      <c r="F7" s="95"/>
      <c r="G7" s="95"/>
      <c r="H7" s="95"/>
      <c r="I7" s="96"/>
    </row>
    <row r="8" spans="1:11" ht="15.75" hidden="1" customHeight="1" x14ac:dyDescent="0.25">
      <c r="A8" s="76" t="s">
        <v>5</v>
      </c>
      <c r="B8" s="80" t="s">
        <v>113</v>
      </c>
      <c r="C8" s="68">
        <v>2020</v>
      </c>
      <c r="D8" s="68">
        <v>294</v>
      </c>
      <c r="E8" s="8" t="s">
        <v>29</v>
      </c>
      <c r="F8" s="9">
        <f>SUM(F10)+F12</f>
        <v>172288.63516999999</v>
      </c>
      <c r="G8" s="9">
        <f>SUM(G10:G12)</f>
        <v>0</v>
      </c>
      <c r="H8" s="9">
        <f>SUM(H10:H12)</f>
        <v>0</v>
      </c>
      <c r="I8" s="82">
        <f>SUM(F8:H9)</f>
        <v>177011.80539999998</v>
      </c>
    </row>
    <row r="9" spans="1:11" ht="36" hidden="1" customHeight="1" x14ac:dyDescent="0.25">
      <c r="A9" s="77"/>
      <c r="B9" s="81"/>
      <c r="C9" s="69"/>
      <c r="D9" s="69"/>
      <c r="E9" s="8" t="s">
        <v>30</v>
      </c>
      <c r="F9" s="9">
        <f>F11+F13</f>
        <v>4723.1702299999997</v>
      </c>
      <c r="G9" s="9">
        <f>G11+G13</f>
        <v>0</v>
      </c>
      <c r="H9" s="9">
        <f>H11+H13</f>
        <v>0</v>
      </c>
      <c r="I9" s="83"/>
      <c r="J9" s="4"/>
      <c r="K9" s="4"/>
    </row>
    <row r="10" spans="1:11" ht="15.75" hidden="1" x14ac:dyDescent="0.25">
      <c r="A10" s="76" t="s">
        <v>39</v>
      </c>
      <c r="B10" s="78" t="s">
        <v>33</v>
      </c>
      <c r="C10" s="69"/>
      <c r="D10" s="69"/>
      <c r="E10" s="38" t="s">
        <v>29</v>
      </c>
      <c r="F10" s="15">
        <f>166859.70789+1805+321.65418+229.16847-6136.48409</f>
        <v>163079.04644999999</v>
      </c>
      <c r="G10" s="15">
        <v>0</v>
      </c>
      <c r="H10" s="15">
        <v>0</v>
      </c>
      <c r="I10" s="74">
        <f>SUM(F10:H11)</f>
        <v>167782.21672999999</v>
      </c>
      <c r="J10" s="4"/>
      <c r="K10" s="4"/>
    </row>
    <row r="11" spans="1:11" ht="15.75" hidden="1" customHeight="1" x14ac:dyDescent="0.25">
      <c r="A11" s="77"/>
      <c r="B11" s="79"/>
      <c r="C11" s="69"/>
      <c r="D11" s="69"/>
      <c r="E11" s="38" t="s">
        <v>30</v>
      </c>
      <c r="F11" s="15">
        <f>2723.175+2384.73739-2384.73739+989.99527+990.00001</f>
        <v>4703.1702799999994</v>
      </c>
      <c r="G11" s="15">
        <v>0</v>
      </c>
      <c r="H11" s="15">
        <v>0</v>
      </c>
      <c r="I11" s="75"/>
      <c r="J11" s="4"/>
    </row>
    <row r="12" spans="1:11" ht="15.75" hidden="1" x14ac:dyDescent="0.25">
      <c r="A12" s="76" t="s">
        <v>38</v>
      </c>
      <c r="B12" s="78" t="s">
        <v>35</v>
      </c>
      <c r="C12" s="69"/>
      <c r="D12" s="69"/>
      <c r="E12" s="38" t="s">
        <v>29</v>
      </c>
      <c r="F12" s="15">
        <f>8782.08989+520+16.92917+20.22115-300+170.34851</f>
        <v>9209.5887199999979</v>
      </c>
      <c r="G12" s="15">
        <v>0</v>
      </c>
      <c r="H12" s="15">
        <v>0</v>
      </c>
      <c r="I12" s="74">
        <f>SUM(F12:H13)</f>
        <v>9229.5886699999974</v>
      </c>
      <c r="J12" s="4"/>
    </row>
    <row r="13" spans="1:11" ht="18.75" hidden="1" customHeight="1" x14ac:dyDescent="0.25">
      <c r="A13" s="77"/>
      <c r="B13" s="79"/>
      <c r="C13" s="70"/>
      <c r="D13" s="70"/>
      <c r="E13" s="38" t="s">
        <v>30</v>
      </c>
      <c r="F13" s="15">
        <f>24.08826-24.08826+9.99995+10</f>
        <v>19.999949999999998</v>
      </c>
      <c r="G13" s="15">
        <v>0</v>
      </c>
      <c r="H13" s="15">
        <v>0</v>
      </c>
      <c r="I13" s="75"/>
      <c r="J13" s="4"/>
    </row>
    <row r="14" spans="1:11" ht="15.75" hidden="1" x14ac:dyDescent="0.25">
      <c r="A14" s="76" t="s">
        <v>32</v>
      </c>
      <c r="B14" s="80" t="s">
        <v>130</v>
      </c>
      <c r="C14" s="68">
        <v>2020</v>
      </c>
      <c r="D14" s="68">
        <v>250</v>
      </c>
      <c r="E14" s="8" t="s">
        <v>29</v>
      </c>
      <c r="F14" s="9">
        <f t="shared" ref="F14:H15" si="0">F16+F18+F20</f>
        <v>200</v>
      </c>
      <c r="G14" s="9">
        <f>G16+G18+G20</f>
        <v>1.8388846001471393E-11</v>
      </c>
      <c r="H14" s="9">
        <f t="shared" si="0"/>
        <v>0</v>
      </c>
      <c r="I14" s="82">
        <f>SUM(F14:H15)</f>
        <v>200.00000000001839</v>
      </c>
      <c r="J14" s="4"/>
    </row>
    <row r="15" spans="1:11" ht="19.5" hidden="1" customHeight="1" x14ac:dyDescent="0.25">
      <c r="A15" s="77"/>
      <c r="B15" s="81"/>
      <c r="C15" s="69"/>
      <c r="D15" s="69"/>
      <c r="E15" s="8" t="s">
        <v>30</v>
      </c>
      <c r="F15" s="9">
        <f t="shared" si="0"/>
        <v>0</v>
      </c>
      <c r="G15" s="9">
        <f t="shared" si="0"/>
        <v>0</v>
      </c>
      <c r="H15" s="9">
        <f t="shared" si="0"/>
        <v>0</v>
      </c>
      <c r="I15" s="83"/>
    </row>
    <row r="16" spans="1:11" ht="15.75" hidden="1" customHeight="1" x14ac:dyDescent="0.25">
      <c r="A16" s="76" t="s">
        <v>40</v>
      </c>
      <c r="B16" s="78" t="s">
        <v>31</v>
      </c>
      <c r="C16" s="69"/>
      <c r="D16" s="69"/>
      <c r="E16" s="38" t="s">
        <v>29</v>
      </c>
      <c r="F16" s="15">
        <v>0</v>
      </c>
      <c r="G16" s="15">
        <v>0</v>
      </c>
      <c r="H16" s="15">
        <v>0</v>
      </c>
      <c r="I16" s="74">
        <f>SUM(F16:H17)</f>
        <v>0</v>
      </c>
    </row>
    <row r="17" spans="1:9" ht="15.75" hidden="1" x14ac:dyDescent="0.25">
      <c r="A17" s="77"/>
      <c r="B17" s="79"/>
      <c r="C17" s="69"/>
      <c r="D17" s="69"/>
      <c r="E17" s="38" t="s">
        <v>30</v>
      </c>
      <c r="F17" s="15">
        <v>0</v>
      </c>
      <c r="G17" s="15">
        <v>0</v>
      </c>
      <c r="H17" s="15">
        <v>0</v>
      </c>
      <c r="I17" s="75"/>
    </row>
    <row r="18" spans="1:9" ht="15.75" hidden="1" x14ac:dyDescent="0.25">
      <c r="A18" s="76" t="s">
        <v>8</v>
      </c>
      <c r="B18" s="78" t="s">
        <v>33</v>
      </c>
      <c r="C18" s="69"/>
      <c r="D18" s="69"/>
      <c r="E18" s="38" t="s">
        <v>29</v>
      </c>
      <c r="F18" s="15">
        <v>0</v>
      </c>
      <c r="G18" s="15">
        <v>0</v>
      </c>
      <c r="H18" s="15">
        <v>0</v>
      </c>
      <c r="I18" s="74">
        <f>SUM(F18:H19)</f>
        <v>0</v>
      </c>
    </row>
    <row r="19" spans="1:9" ht="15.75" hidden="1" x14ac:dyDescent="0.25">
      <c r="A19" s="77"/>
      <c r="B19" s="79"/>
      <c r="C19" s="69"/>
      <c r="D19" s="69"/>
      <c r="E19" s="38" t="s">
        <v>30</v>
      </c>
      <c r="F19" s="15">
        <v>0</v>
      </c>
      <c r="G19" s="15">
        <v>0</v>
      </c>
      <c r="H19" s="15">
        <v>0</v>
      </c>
      <c r="I19" s="75"/>
    </row>
    <row r="20" spans="1:9" ht="15.75" hidden="1" x14ac:dyDescent="0.25">
      <c r="A20" s="76" t="s">
        <v>9</v>
      </c>
      <c r="B20" s="78" t="s">
        <v>35</v>
      </c>
      <c r="C20" s="69"/>
      <c r="D20" s="69"/>
      <c r="E20" s="38" t="s">
        <v>29</v>
      </c>
      <c r="F20" s="15">
        <v>200</v>
      </c>
      <c r="G20" s="15">
        <f>264504.85342+4076.6544+770+234.40824-264504.85342-4076.6544-770-234.40824</f>
        <v>1.8388846001471393E-11</v>
      </c>
      <c r="H20" s="15">
        <v>0</v>
      </c>
      <c r="I20" s="74">
        <f>SUM(F20:H21)</f>
        <v>200.00000000001839</v>
      </c>
    </row>
    <row r="21" spans="1:9" ht="15.75" hidden="1" x14ac:dyDescent="0.25">
      <c r="A21" s="77"/>
      <c r="B21" s="79"/>
      <c r="C21" s="70"/>
      <c r="D21" s="70"/>
      <c r="E21" s="38" t="s">
        <v>30</v>
      </c>
      <c r="F21" s="15">
        <v>0</v>
      </c>
      <c r="G21" s="15">
        <v>0</v>
      </c>
      <c r="H21" s="15">
        <v>0</v>
      </c>
      <c r="I21" s="75"/>
    </row>
    <row r="22" spans="1:9" ht="15.75" hidden="1" x14ac:dyDescent="0.25">
      <c r="A22" s="76" t="s">
        <v>34</v>
      </c>
      <c r="B22" s="80" t="s">
        <v>114</v>
      </c>
      <c r="C22" s="68" t="s">
        <v>19</v>
      </c>
      <c r="D22" s="68">
        <v>350</v>
      </c>
      <c r="E22" s="8" t="s">
        <v>29</v>
      </c>
      <c r="F22" s="9">
        <f t="shared" ref="F22:H23" si="1">F26+F28+F24</f>
        <v>346749.77639000001</v>
      </c>
      <c r="G22" s="9">
        <f t="shared" si="1"/>
        <v>88099.535109999997</v>
      </c>
      <c r="H22" s="9">
        <f t="shared" si="1"/>
        <v>0</v>
      </c>
      <c r="I22" s="82">
        <f>SUM(F22:H23)</f>
        <v>445865.27886000002</v>
      </c>
    </row>
    <row r="23" spans="1:9" ht="36.75" hidden="1" customHeight="1" x14ac:dyDescent="0.25">
      <c r="A23" s="77"/>
      <c r="B23" s="81"/>
      <c r="C23" s="69"/>
      <c r="D23" s="69"/>
      <c r="E23" s="8" t="s">
        <v>30</v>
      </c>
      <c r="F23" s="9">
        <f t="shared" si="1"/>
        <v>11015.967360000002</v>
      </c>
      <c r="G23" s="9">
        <f t="shared" si="1"/>
        <v>0</v>
      </c>
      <c r="H23" s="9">
        <f t="shared" si="1"/>
        <v>0</v>
      </c>
      <c r="I23" s="83"/>
    </row>
    <row r="24" spans="1:9" ht="16.5" hidden="1" customHeight="1" x14ac:dyDescent="0.25">
      <c r="A24" s="76" t="s">
        <v>41</v>
      </c>
      <c r="B24" s="78" t="s">
        <v>31</v>
      </c>
      <c r="C24" s="69"/>
      <c r="D24" s="69"/>
      <c r="E24" s="38" t="s">
        <v>29</v>
      </c>
      <c r="F24" s="15">
        <f>62403.95224+160128.50055</f>
        <v>222532.45279000001</v>
      </c>
      <c r="G24" s="15">
        <f>160128.50055-160128.50055</f>
        <v>0</v>
      </c>
      <c r="H24" s="15">
        <v>0</v>
      </c>
      <c r="I24" s="74">
        <f>SUM(F24:H25)</f>
        <v>222532.45279000001</v>
      </c>
    </row>
    <row r="25" spans="1:9" ht="15.75" hidden="1" x14ac:dyDescent="0.25">
      <c r="A25" s="77"/>
      <c r="B25" s="79"/>
      <c r="C25" s="69"/>
      <c r="D25" s="69"/>
      <c r="E25" s="38" t="s">
        <v>30</v>
      </c>
      <c r="F25" s="15">
        <v>0</v>
      </c>
      <c r="G25" s="15">
        <v>0</v>
      </c>
      <c r="H25" s="15">
        <v>0</v>
      </c>
      <c r="I25" s="75"/>
    </row>
    <row r="26" spans="1:9" ht="19.5" hidden="1" customHeight="1" x14ac:dyDescent="0.25">
      <c r="A26" s="76" t="s">
        <v>42</v>
      </c>
      <c r="B26" s="78" t="s">
        <v>33</v>
      </c>
      <c r="C26" s="69"/>
      <c r="D26" s="69"/>
      <c r="E26" s="38" t="s">
        <v>29</v>
      </c>
      <c r="F26" s="15">
        <f>26667.98476+26067.43032+53289.4197</f>
        <v>106024.83478</v>
      </c>
      <c r="G26" s="15">
        <f>80650.42094-26067.43032-21196.11224+25627.93545+24012.764+663.43696</f>
        <v>83691.014790000001</v>
      </c>
      <c r="H26" s="15">
        <v>0</v>
      </c>
      <c r="I26" s="74">
        <f>SUM(F26:H27)</f>
        <v>200621.65726000001</v>
      </c>
    </row>
    <row r="27" spans="1:9" ht="15.75" hidden="1" customHeight="1" x14ac:dyDescent="0.25">
      <c r="A27" s="77"/>
      <c r="B27" s="79"/>
      <c r="C27" s="69"/>
      <c r="D27" s="69"/>
      <c r="E27" s="38" t="s">
        <v>30</v>
      </c>
      <c r="F27" s="15">
        <f>16586.68415-16586.68415+10919.87533-14.06764</f>
        <v>10905.807690000001</v>
      </c>
      <c r="G27" s="15">
        <v>0</v>
      </c>
      <c r="H27" s="15">
        <v>0</v>
      </c>
      <c r="I27" s="75"/>
    </row>
    <row r="28" spans="1:9" ht="15.75" hidden="1" x14ac:dyDescent="0.25">
      <c r="A28" s="76" t="s">
        <v>43</v>
      </c>
      <c r="B28" s="78" t="s">
        <v>35</v>
      </c>
      <c r="C28" s="69"/>
      <c r="D28" s="69"/>
      <c r="E28" s="38" t="s">
        <v>29</v>
      </c>
      <c r="F28" s="15">
        <f>4687.99668+44120.04566+900-44120.04566+9799.78584+2804.7063</f>
        <v>18192.488819999999</v>
      </c>
      <c r="G28" s="15">
        <f>12672.57482-9799.78584-1115.58485+1348.8387+34.91773+182.5+1085.05975+0.00001</f>
        <v>4408.5203199999996</v>
      </c>
      <c r="H28" s="15">
        <v>0</v>
      </c>
      <c r="I28" s="74">
        <f>SUM(F28:H29)</f>
        <v>22711.168809999999</v>
      </c>
    </row>
    <row r="29" spans="1:9" ht="15.75" hidden="1" x14ac:dyDescent="0.25">
      <c r="A29" s="77"/>
      <c r="B29" s="79"/>
      <c r="C29" s="70"/>
      <c r="D29" s="70"/>
      <c r="E29" s="38" t="s">
        <v>30</v>
      </c>
      <c r="F29" s="15">
        <f>167.54226-167.54226+110.30177-0.1421</f>
        <v>110.15967000000001</v>
      </c>
      <c r="G29" s="15">
        <v>0</v>
      </c>
      <c r="H29" s="15">
        <v>0</v>
      </c>
      <c r="I29" s="75"/>
    </row>
    <row r="30" spans="1:9" ht="15.75" hidden="1" x14ac:dyDescent="0.25">
      <c r="A30" s="76" t="s">
        <v>44</v>
      </c>
      <c r="B30" s="80" t="s">
        <v>115</v>
      </c>
      <c r="C30" s="68" t="s">
        <v>19</v>
      </c>
      <c r="D30" s="68">
        <v>350</v>
      </c>
      <c r="E30" s="8" t="s">
        <v>29</v>
      </c>
      <c r="F30" s="9">
        <f t="shared" ref="F30:H31" si="2">F34+F36+F32</f>
        <v>318248.85902999999</v>
      </c>
      <c r="G30" s="9">
        <f t="shared" si="2"/>
        <v>156622.39560000002</v>
      </c>
      <c r="H30" s="9">
        <f t="shared" si="2"/>
        <v>0</v>
      </c>
      <c r="I30" s="82">
        <f>SUM(F30:H31)</f>
        <v>485901.24098</v>
      </c>
    </row>
    <row r="31" spans="1:9" ht="37.5" hidden="1" customHeight="1" x14ac:dyDescent="0.25">
      <c r="A31" s="77"/>
      <c r="B31" s="81"/>
      <c r="C31" s="69"/>
      <c r="D31" s="69"/>
      <c r="E31" s="8" t="s">
        <v>30</v>
      </c>
      <c r="F31" s="9">
        <f t="shared" si="2"/>
        <v>11029.986349999999</v>
      </c>
      <c r="G31" s="9">
        <f t="shared" si="2"/>
        <v>0</v>
      </c>
      <c r="H31" s="9">
        <f t="shared" si="2"/>
        <v>0</v>
      </c>
      <c r="I31" s="83"/>
    </row>
    <row r="32" spans="1:9" ht="16.5" hidden="1" customHeight="1" x14ac:dyDescent="0.25">
      <c r="A32" s="76" t="s">
        <v>45</v>
      </c>
      <c r="B32" s="78" t="s">
        <v>31</v>
      </c>
      <c r="C32" s="69"/>
      <c r="D32" s="69"/>
      <c r="E32" s="38" t="s">
        <v>29</v>
      </c>
      <c r="F32" s="15">
        <f>62403.95223+19902.64607</f>
        <v>82306.598299999998</v>
      </c>
      <c r="G32" s="15">
        <f>19902.64607-19902.64607</f>
        <v>0</v>
      </c>
      <c r="H32" s="15">
        <v>0</v>
      </c>
      <c r="I32" s="74">
        <f>SUM(F32:H33)</f>
        <v>82306.598299999998</v>
      </c>
    </row>
    <row r="33" spans="1:9" ht="15.75" hidden="1" x14ac:dyDescent="0.25">
      <c r="A33" s="77"/>
      <c r="B33" s="79"/>
      <c r="C33" s="69"/>
      <c r="D33" s="69"/>
      <c r="E33" s="38" t="s">
        <v>30</v>
      </c>
      <c r="F33" s="15">
        <v>0</v>
      </c>
      <c r="G33" s="15">
        <v>0</v>
      </c>
      <c r="H33" s="15">
        <v>0</v>
      </c>
      <c r="I33" s="75"/>
    </row>
    <row r="34" spans="1:9" ht="19.5" hidden="1" customHeight="1" x14ac:dyDescent="0.25">
      <c r="A34" s="76" t="s">
        <v>46</v>
      </c>
      <c r="B34" s="78" t="s">
        <v>33</v>
      </c>
      <c r="C34" s="69"/>
      <c r="D34" s="69"/>
      <c r="E34" s="38" t="s">
        <v>29</v>
      </c>
      <c r="F34" s="15">
        <f>192566.96174-119878.82016+14355.36568+105523.45448+3239.96565+23367.89039</f>
        <v>219174.81777999998</v>
      </c>
      <c r="G34" s="15">
        <f>55290.29797-3240.24006-20983.13826+21133.3326+46905.97478+51666.97253</f>
        <v>150773.19956000001</v>
      </c>
      <c r="H34" s="15">
        <v>0</v>
      </c>
      <c r="I34" s="74">
        <f>SUM(F34:H35)</f>
        <v>380867.70383000001</v>
      </c>
    </row>
    <row r="35" spans="1:9" ht="15.75" hidden="1" customHeight="1" x14ac:dyDescent="0.25">
      <c r="A35" s="77"/>
      <c r="B35" s="79"/>
      <c r="C35" s="69"/>
      <c r="D35" s="69"/>
      <c r="E35" s="38" t="s">
        <v>30</v>
      </c>
      <c r="F35" s="15">
        <f>16586.68415-16586.68415+10919.87533-0.18884</f>
        <v>10919.68649</v>
      </c>
      <c r="G35" s="15">
        <v>0</v>
      </c>
      <c r="H35" s="15">
        <v>0</v>
      </c>
      <c r="I35" s="75"/>
    </row>
    <row r="36" spans="1:9" ht="15.75" hidden="1" x14ac:dyDescent="0.25">
      <c r="A36" s="76" t="s">
        <v>47</v>
      </c>
      <c r="B36" s="78" t="s">
        <v>35</v>
      </c>
      <c r="C36" s="69"/>
      <c r="D36" s="69"/>
      <c r="E36" s="38" t="s">
        <v>29</v>
      </c>
      <c r="F36" s="15">
        <f>13419.52179+104767.90892+755.54556-105523.45448+18638.784+900-0.00001-18638.784+1218.0322+1229.88897</f>
        <v>16767.442949999997</v>
      </c>
      <c r="G36" s="15">
        <f>3957.52337-1218.04664-1104.37569+1112.28066+2719.31434+182.5+80+120</f>
        <v>5849.1960399999998</v>
      </c>
      <c r="H36" s="15">
        <v>0</v>
      </c>
      <c r="I36" s="74">
        <f>SUM(F36:H37)</f>
        <v>22726.938849999995</v>
      </c>
    </row>
    <row r="37" spans="1:9" ht="15.75" hidden="1" x14ac:dyDescent="0.25">
      <c r="A37" s="77"/>
      <c r="B37" s="79"/>
      <c r="C37" s="70"/>
      <c r="D37" s="70"/>
      <c r="E37" s="38" t="s">
        <v>30</v>
      </c>
      <c r="F37" s="15">
        <f>167.54226-167.54226+110.30177-0.00191</f>
        <v>110.29986000000001</v>
      </c>
      <c r="G37" s="15">
        <v>0</v>
      </c>
      <c r="H37" s="15">
        <v>0</v>
      </c>
      <c r="I37" s="75"/>
    </row>
    <row r="38" spans="1:9" ht="51" hidden="1" customHeight="1" x14ac:dyDescent="0.25">
      <c r="A38" s="76" t="s">
        <v>49</v>
      </c>
      <c r="B38" s="80" t="s">
        <v>145</v>
      </c>
      <c r="C38" s="68" t="s">
        <v>19</v>
      </c>
      <c r="D38" s="68">
        <v>300</v>
      </c>
      <c r="E38" s="8" t="s">
        <v>29</v>
      </c>
      <c r="F38" s="9">
        <f t="shared" ref="F38:H39" si="3">F42+F44+F40</f>
        <v>158266.39674</v>
      </c>
      <c r="G38" s="9">
        <f t="shared" si="3"/>
        <v>182375.21617999999</v>
      </c>
      <c r="H38" s="9">
        <f t="shared" si="3"/>
        <v>0</v>
      </c>
      <c r="I38" s="82">
        <f>SUM(F38:H39)</f>
        <v>368551.13279999996</v>
      </c>
    </row>
    <row r="39" spans="1:9" ht="42" hidden="1" customHeight="1" x14ac:dyDescent="0.25">
      <c r="A39" s="77"/>
      <c r="B39" s="81"/>
      <c r="C39" s="69"/>
      <c r="D39" s="69"/>
      <c r="E39" s="8" t="s">
        <v>30</v>
      </c>
      <c r="F39" s="9">
        <f t="shared" si="3"/>
        <v>0</v>
      </c>
      <c r="G39" s="9">
        <f t="shared" si="3"/>
        <v>27909.519879999996</v>
      </c>
      <c r="H39" s="9">
        <f t="shared" si="3"/>
        <v>0</v>
      </c>
      <c r="I39" s="83"/>
    </row>
    <row r="40" spans="1:9" ht="27" hidden="1" customHeight="1" x14ac:dyDescent="0.25">
      <c r="A40" s="76" t="s">
        <v>50</v>
      </c>
      <c r="B40" s="78" t="s">
        <v>31</v>
      </c>
      <c r="C40" s="69"/>
      <c r="D40" s="69"/>
      <c r="E40" s="38" t="s">
        <v>29</v>
      </c>
      <c r="F40" s="15">
        <f>62403.95225+55679.36613</f>
        <v>118083.31838000001</v>
      </c>
      <c r="G40" s="15">
        <v>120877.05190999999</v>
      </c>
      <c r="H40" s="15">
        <v>0</v>
      </c>
      <c r="I40" s="74">
        <f>SUM(F40:H41)</f>
        <v>238960.37028999999</v>
      </c>
    </row>
    <row r="41" spans="1:9" ht="15.75" hidden="1" x14ac:dyDescent="0.25">
      <c r="A41" s="77"/>
      <c r="B41" s="79"/>
      <c r="C41" s="69"/>
      <c r="D41" s="69"/>
      <c r="E41" s="38" t="s">
        <v>30</v>
      </c>
      <c r="F41" s="15">
        <v>0</v>
      </c>
      <c r="G41" s="15">
        <v>0</v>
      </c>
      <c r="H41" s="15">
        <v>0</v>
      </c>
      <c r="I41" s="75"/>
    </row>
    <row r="42" spans="1:9" ht="19.5" hidden="1" customHeight="1" x14ac:dyDescent="0.25">
      <c r="A42" s="76" t="s">
        <v>51</v>
      </c>
      <c r="B42" s="78" t="s">
        <v>33</v>
      </c>
      <c r="C42" s="69"/>
      <c r="D42" s="69"/>
      <c r="E42" s="38" t="s">
        <v>29</v>
      </c>
      <c r="F42" s="15">
        <f>17389.03852+9064.08286+5463.23714</f>
        <v>31916.358519999998</v>
      </c>
      <c r="G42" s="15">
        <f>41935.75738+4384.9606+2498.1077</f>
        <v>48818.825680000002</v>
      </c>
      <c r="H42" s="15">
        <v>0</v>
      </c>
      <c r="I42" s="74">
        <f>SUM(F42:H43)</f>
        <v>107734.64006999999</v>
      </c>
    </row>
    <row r="43" spans="1:9" ht="15.75" hidden="1" customHeight="1" x14ac:dyDescent="0.25">
      <c r="A43" s="77"/>
      <c r="B43" s="79"/>
      <c r="C43" s="69"/>
      <c r="D43" s="69"/>
      <c r="E43" s="38" t="s">
        <v>30</v>
      </c>
      <c r="F43" s="15">
        <v>0</v>
      </c>
      <c r="G43" s="15">
        <f>12013.947+17483.61657-2498.1077</f>
        <v>26999.455869999998</v>
      </c>
      <c r="H43" s="15">
        <v>0</v>
      </c>
      <c r="I43" s="75"/>
    </row>
    <row r="44" spans="1:9" ht="15.75" hidden="1" x14ac:dyDescent="0.25">
      <c r="A44" s="76" t="s">
        <v>52</v>
      </c>
      <c r="B44" s="78" t="s">
        <v>35</v>
      </c>
      <c r="C44" s="69"/>
      <c r="D44" s="69"/>
      <c r="E44" s="38" t="s">
        <v>29</v>
      </c>
      <c r="F44" s="15">
        <f>4199.63109+372+3407.54995+287.5388</f>
        <v>8266.7198399999997</v>
      </c>
      <c r="G44" s="15">
        <f>8419.09523+1200+7313.72462-4384.9606+131.47934</f>
        <v>12679.338589999999</v>
      </c>
      <c r="H44" s="15">
        <v>0</v>
      </c>
      <c r="I44" s="74">
        <f>SUM(F44:H45)</f>
        <v>21856.122439999996</v>
      </c>
    </row>
    <row r="45" spans="1:9" ht="15.75" hidden="1" x14ac:dyDescent="0.25">
      <c r="A45" s="77"/>
      <c r="B45" s="79"/>
      <c r="C45" s="70"/>
      <c r="D45" s="70"/>
      <c r="E45" s="38" t="s">
        <v>30</v>
      </c>
      <c r="F45" s="15">
        <v>0</v>
      </c>
      <c r="G45" s="15">
        <f>121.353+920.19035-131.47934</f>
        <v>910.06400999999994</v>
      </c>
      <c r="H45" s="15">
        <v>0</v>
      </c>
      <c r="I45" s="75"/>
    </row>
    <row r="46" spans="1:9" ht="85.5" hidden="1" customHeight="1" x14ac:dyDescent="0.25">
      <c r="A46" s="14" t="s">
        <v>94</v>
      </c>
      <c r="B46" s="10" t="s">
        <v>116</v>
      </c>
      <c r="C46" s="68">
        <v>2020</v>
      </c>
      <c r="D46" s="68">
        <v>1500</v>
      </c>
      <c r="E46" s="8" t="s">
        <v>29</v>
      </c>
      <c r="F46" s="9">
        <f>F47+F48</f>
        <v>961.88299000000063</v>
      </c>
      <c r="G46" s="9">
        <f>G47+G48</f>
        <v>342.96908000000002</v>
      </c>
      <c r="H46" s="9">
        <f>H47+H48</f>
        <v>0</v>
      </c>
      <c r="I46" s="9">
        <f>SUM(F46:H46)</f>
        <v>1304.8520700000006</v>
      </c>
    </row>
    <row r="47" spans="1:9" ht="15.75" hidden="1" x14ac:dyDescent="0.25">
      <c r="A47" s="14" t="s">
        <v>95</v>
      </c>
      <c r="B47" s="40" t="s">
        <v>35</v>
      </c>
      <c r="C47" s="69"/>
      <c r="D47" s="69"/>
      <c r="E47" s="38" t="s">
        <v>29</v>
      </c>
      <c r="F47" s="15">
        <f>24.65711-21.19525</f>
        <v>3.4618599999999979</v>
      </c>
      <c r="G47" s="15">
        <f>0.24801</f>
        <v>0.24801000000000001</v>
      </c>
      <c r="H47" s="15">
        <v>0</v>
      </c>
      <c r="I47" s="15">
        <f>SUM(F47:H47)</f>
        <v>3.7098699999999978</v>
      </c>
    </row>
    <row r="48" spans="1:9" ht="15.75" hidden="1" x14ac:dyDescent="0.25">
      <c r="A48" s="14" t="s">
        <v>96</v>
      </c>
      <c r="B48" s="40" t="s">
        <v>33</v>
      </c>
      <c r="C48" s="70"/>
      <c r="D48" s="70"/>
      <c r="E48" s="38" t="s">
        <v>29</v>
      </c>
      <c r="F48" s="15">
        <f>615.69721+2441.01983-2098.29591</f>
        <v>958.42113000000063</v>
      </c>
      <c r="G48" s="15">
        <f>342.72107</f>
        <v>342.72107</v>
      </c>
      <c r="H48" s="15">
        <v>0</v>
      </c>
      <c r="I48" s="15">
        <f>SUM(F48:H48)</f>
        <v>1301.1422000000007</v>
      </c>
    </row>
    <row r="49" spans="1:9" ht="33.75" hidden="1" customHeight="1" x14ac:dyDescent="0.25">
      <c r="A49" s="14" t="s">
        <v>97</v>
      </c>
      <c r="B49" s="11" t="s">
        <v>103</v>
      </c>
      <c r="C49" s="68">
        <v>2020</v>
      </c>
      <c r="D49" s="71">
        <v>150</v>
      </c>
      <c r="E49" s="8" t="s">
        <v>29</v>
      </c>
      <c r="F49" s="9">
        <f>F50+F51</f>
        <v>1708.0201299999999</v>
      </c>
      <c r="G49" s="9">
        <f>G50+G51</f>
        <v>175.67305999999999</v>
      </c>
      <c r="H49" s="9">
        <f>H50+H51</f>
        <v>0</v>
      </c>
      <c r="I49" s="9">
        <f>SUM(F49:H49)</f>
        <v>1883.69319</v>
      </c>
    </row>
    <row r="50" spans="1:9" ht="15.75" hidden="1" x14ac:dyDescent="0.25">
      <c r="A50" s="14" t="s">
        <v>98</v>
      </c>
      <c r="B50" s="40" t="s">
        <v>35</v>
      </c>
      <c r="C50" s="69"/>
      <c r="D50" s="72"/>
      <c r="E50" s="38" t="s">
        <v>29</v>
      </c>
      <c r="F50" s="15">
        <f>281.4+500-30.25213+25.67307+278.28741-879.74665</f>
        <v>175.36169999999993</v>
      </c>
      <c r="G50" s="15">
        <v>175.67305999999999</v>
      </c>
      <c r="H50" s="15">
        <v>0</v>
      </c>
      <c r="I50" s="15">
        <f>SUM(F50:H50)</f>
        <v>351.03475999999989</v>
      </c>
    </row>
    <row r="51" spans="1:9" ht="15.75" hidden="1" x14ac:dyDescent="0.25">
      <c r="A51" s="14" t="s">
        <v>106</v>
      </c>
      <c r="B51" s="40" t="s">
        <v>33</v>
      </c>
      <c r="C51" s="70"/>
      <c r="D51" s="73"/>
      <c r="E51" s="38" t="s">
        <v>29</v>
      </c>
      <c r="F51" s="15">
        <f>1532.65843</f>
        <v>1532.65843</v>
      </c>
      <c r="G51" s="15">
        <v>0</v>
      </c>
      <c r="H51" s="15">
        <v>0</v>
      </c>
      <c r="I51" s="15">
        <f>F51+G51+H51</f>
        <v>1532.65843</v>
      </c>
    </row>
    <row r="52" spans="1:9" ht="31.5" hidden="1" x14ac:dyDescent="0.25">
      <c r="A52" s="14" t="s">
        <v>99</v>
      </c>
      <c r="B52" s="11" t="s">
        <v>102</v>
      </c>
      <c r="C52" s="68">
        <v>2020</v>
      </c>
      <c r="D52" s="68">
        <v>250</v>
      </c>
      <c r="E52" s="8" t="s">
        <v>29</v>
      </c>
      <c r="F52" s="9">
        <f>F53+F54</f>
        <v>67924.675789999994</v>
      </c>
      <c r="G52" s="9">
        <f>G53+G54</f>
        <v>0</v>
      </c>
      <c r="H52" s="9">
        <f>H53+H54</f>
        <v>0</v>
      </c>
      <c r="I52" s="9">
        <f t="shared" ref="I52:I63" si="4">SUM(F52:H52)</f>
        <v>67924.675789999994</v>
      </c>
    </row>
    <row r="53" spans="1:9" ht="15.75" hidden="1" x14ac:dyDescent="0.25">
      <c r="A53" s="14" t="s">
        <v>100</v>
      </c>
      <c r="B53" s="40" t="s">
        <v>35</v>
      </c>
      <c r="C53" s="69"/>
      <c r="D53" s="69"/>
      <c r="E53" s="38" t="s">
        <v>29</v>
      </c>
      <c r="F53" s="15">
        <f>300+3316.64864+700+32.37825+129.65149+851.1017</f>
        <v>5329.7800799999995</v>
      </c>
      <c r="G53" s="15">
        <v>0</v>
      </c>
      <c r="H53" s="15">
        <v>0</v>
      </c>
      <c r="I53" s="15">
        <f t="shared" si="4"/>
        <v>5329.7800799999995</v>
      </c>
    </row>
    <row r="54" spans="1:9" ht="15.75" hidden="1" x14ac:dyDescent="0.25">
      <c r="A54" s="14" t="s">
        <v>101</v>
      </c>
      <c r="B54" s="40" t="s">
        <v>33</v>
      </c>
      <c r="C54" s="70"/>
      <c r="D54" s="70"/>
      <c r="E54" s="38" t="s">
        <v>29</v>
      </c>
      <c r="F54" s="15">
        <f>63126.82274+5013.94589+615.18675-6161.05967</f>
        <v>62594.895709999997</v>
      </c>
      <c r="G54" s="15">
        <v>0</v>
      </c>
      <c r="H54" s="15">
        <v>0</v>
      </c>
      <c r="I54" s="15">
        <f t="shared" si="4"/>
        <v>62594.895709999997</v>
      </c>
    </row>
    <row r="55" spans="1:9" ht="78.75" hidden="1" x14ac:dyDescent="0.25">
      <c r="A55" s="14" t="s">
        <v>117</v>
      </c>
      <c r="B55" s="10" t="s">
        <v>120</v>
      </c>
      <c r="C55" s="68" t="s">
        <v>121</v>
      </c>
      <c r="D55" s="68">
        <v>1500</v>
      </c>
      <c r="E55" s="8" t="s">
        <v>29</v>
      </c>
      <c r="F55" s="9">
        <f>F56+F57</f>
        <v>0</v>
      </c>
      <c r="G55" s="9">
        <f>G56+G57</f>
        <v>53687.340929999998</v>
      </c>
      <c r="H55" s="9">
        <f>H56+H57</f>
        <v>112700.27860999999</v>
      </c>
      <c r="I55" s="9">
        <f t="shared" si="4"/>
        <v>166387.61953999999</v>
      </c>
    </row>
    <row r="56" spans="1:9" ht="15.75" hidden="1" x14ac:dyDescent="0.25">
      <c r="A56" s="14" t="s">
        <v>118</v>
      </c>
      <c r="B56" s="40" t="s">
        <v>35</v>
      </c>
      <c r="C56" s="69"/>
      <c r="D56" s="69"/>
      <c r="E56" s="38" t="s">
        <v>29</v>
      </c>
      <c r="F56" s="15">
        <v>0</v>
      </c>
      <c r="G56" s="15">
        <f>510.64148+2150.06937-510.64148-2150.06937+2684.36705</f>
        <v>2684.3670499999998</v>
      </c>
      <c r="H56" s="15">
        <f>765.96222+3225.10409+1643.94762</f>
        <v>5635.0139299999992</v>
      </c>
      <c r="I56" s="15">
        <f t="shared" si="4"/>
        <v>8319.3809799999981</v>
      </c>
    </row>
    <row r="57" spans="1:9" ht="15.75" hidden="1" x14ac:dyDescent="0.25">
      <c r="A57" s="14" t="s">
        <v>119</v>
      </c>
      <c r="B57" s="40" t="s">
        <v>33</v>
      </c>
      <c r="C57" s="70"/>
      <c r="D57" s="70"/>
      <c r="E57" s="38" t="s">
        <v>29</v>
      </c>
      <c r="F57" s="15">
        <v>0</v>
      </c>
      <c r="G57" s="15">
        <f>50553.50613-50553.50613+51002.97388</f>
        <v>51002.973879999998</v>
      </c>
      <c r="H57" s="15">
        <f>75830.25989+31235.00479</f>
        <v>107065.26467999999</v>
      </c>
      <c r="I57" s="15">
        <f t="shared" si="4"/>
        <v>158068.23856</v>
      </c>
    </row>
    <row r="58" spans="1:9" ht="87" hidden="1" customHeight="1" x14ac:dyDescent="0.25">
      <c r="A58" s="14" t="s">
        <v>122</v>
      </c>
      <c r="B58" s="11" t="s">
        <v>128</v>
      </c>
      <c r="C58" s="66">
        <v>2020</v>
      </c>
      <c r="D58" s="67">
        <v>300</v>
      </c>
      <c r="E58" s="8" t="s">
        <v>30</v>
      </c>
      <c r="F58" s="9">
        <f>F59+F60</f>
        <v>5934.6062699999993</v>
      </c>
      <c r="G58" s="9">
        <f>G59+G60</f>
        <v>0</v>
      </c>
      <c r="H58" s="9">
        <f>H59+H60</f>
        <v>0</v>
      </c>
      <c r="I58" s="9">
        <f t="shared" si="4"/>
        <v>5934.6062699999993</v>
      </c>
    </row>
    <row r="59" spans="1:9" ht="15.75" hidden="1" x14ac:dyDescent="0.25">
      <c r="A59" s="14" t="s">
        <v>123</v>
      </c>
      <c r="B59" s="40" t="s">
        <v>35</v>
      </c>
      <c r="C59" s="66"/>
      <c r="D59" s="67"/>
      <c r="E59" s="38" t="s">
        <v>30</v>
      </c>
      <c r="F59" s="15">
        <f>64.28465-4.93858</f>
        <v>59.346069999999997</v>
      </c>
      <c r="G59" s="15">
        <v>0</v>
      </c>
      <c r="H59" s="15">
        <v>0</v>
      </c>
      <c r="I59" s="15">
        <f t="shared" si="4"/>
        <v>59.346069999999997</v>
      </c>
    </row>
    <row r="60" spans="1:9" ht="15.75" hidden="1" x14ac:dyDescent="0.25">
      <c r="A60" s="14" t="s">
        <v>124</v>
      </c>
      <c r="B60" s="40" t="s">
        <v>33</v>
      </c>
      <c r="C60" s="66"/>
      <c r="D60" s="67"/>
      <c r="E60" s="38" t="s">
        <v>30</v>
      </c>
      <c r="F60" s="15">
        <f>6364.17988-488.91968</f>
        <v>5875.2601999999997</v>
      </c>
      <c r="G60" s="15">
        <v>0</v>
      </c>
      <c r="H60" s="15">
        <v>0</v>
      </c>
      <c r="I60" s="15">
        <f t="shared" si="4"/>
        <v>5875.2601999999997</v>
      </c>
    </row>
    <row r="61" spans="1:9" ht="63" hidden="1" x14ac:dyDescent="0.25">
      <c r="A61" s="14" t="s">
        <v>125</v>
      </c>
      <c r="B61" s="11" t="s">
        <v>129</v>
      </c>
      <c r="C61" s="68">
        <v>2020</v>
      </c>
      <c r="D61" s="68">
        <v>300</v>
      </c>
      <c r="E61" s="8" t="s">
        <v>30</v>
      </c>
      <c r="F61" s="9">
        <f>F62+F63</f>
        <v>5936.7232699999995</v>
      </c>
      <c r="G61" s="9">
        <f>G62+G63</f>
        <v>0</v>
      </c>
      <c r="H61" s="9">
        <f>H62+H63</f>
        <v>0</v>
      </c>
      <c r="I61" s="9">
        <f t="shared" si="4"/>
        <v>5936.7232699999995</v>
      </c>
    </row>
    <row r="62" spans="1:9" ht="15.75" hidden="1" x14ac:dyDescent="0.25">
      <c r="A62" s="14" t="s">
        <v>126</v>
      </c>
      <c r="B62" s="40" t="s">
        <v>35</v>
      </c>
      <c r="C62" s="69"/>
      <c r="D62" s="69"/>
      <c r="E62" s="38" t="s">
        <v>30</v>
      </c>
      <c r="F62" s="15">
        <f>64.28465-4.91741</f>
        <v>59.367239999999995</v>
      </c>
      <c r="G62" s="15">
        <v>0</v>
      </c>
      <c r="H62" s="15">
        <v>0</v>
      </c>
      <c r="I62" s="15">
        <f t="shared" si="4"/>
        <v>59.367239999999995</v>
      </c>
    </row>
    <row r="63" spans="1:9" ht="15.75" hidden="1" x14ac:dyDescent="0.25">
      <c r="A63" s="14" t="s">
        <v>127</v>
      </c>
      <c r="B63" s="40" t="s">
        <v>33</v>
      </c>
      <c r="C63" s="70"/>
      <c r="D63" s="70"/>
      <c r="E63" s="38" t="s">
        <v>30</v>
      </c>
      <c r="F63" s="15">
        <f>6364.17988-486.82385</f>
        <v>5877.3560299999999</v>
      </c>
      <c r="G63" s="15">
        <v>0</v>
      </c>
      <c r="H63" s="15">
        <v>0</v>
      </c>
      <c r="I63" s="15">
        <f t="shared" si="4"/>
        <v>5877.3560299999999</v>
      </c>
    </row>
    <row r="64" spans="1:9" x14ac:dyDescent="0.25">
      <c r="A64" s="43" t="s">
        <v>6</v>
      </c>
      <c r="B64" s="43"/>
      <c r="C64" s="43"/>
      <c r="D64" s="43"/>
      <c r="E64" s="43"/>
      <c r="F64" s="43"/>
      <c r="G64" s="43"/>
      <c r="H64" s="43"/>
      <c r="I64" s="43"/>
    </row>
    <row r="65" spans="1:9" ht="64.5" hidden="1" customHeight="1" x14ac:dyDescent="0.25">
      <c r="A65" s="14" t="s">
        <v>7</v>
      </c>
      <c r="B65" s="11" t="s">
        <v>21</v>
      </c>
      <c r="C65" s="45">
        <v>2020</v>
      </c>
      <c r="D65" s="45"/>
      <c r="E65" s="8" t="s">
        <v>29</v>
      </c>
      <c r="F65" s="9">
        <f>F66</f>
        <v>0</v>
      </c>
      <c r="G65" s="9">
        <f>G66</f>
        <v>0</v>
      </c>
      <c r="H65" s="9">
        <f>H66</f>
        <v>0</v>
      </c>
      <c r="I65" s="9">
        <f>F65+G65+H65</f>
        <v>0</v>
      </c>
    </row>
    <row r="66" spans="1:9" ht="27" hidden="1" customHeight="1" x14ac:dyDescent="0.25">
      <c r="A66" s="14" t="s">
        <v>54</v>
      </c>
      <c r="B66" s="40" t="s">
        <v>35</v>
      </c>
      <c r="C66" s="45"/>
      <c r="D66" s="45"/>
      <c r="E66" s="38" t="s">
        <v>29</v>
      </c>
      <c r="F66" s="15">
        <v>0</v>
      </c>
      <c r="G66" s="15">
        <v>0</v>
      </c>
      <c r="H66" s="15">
        <v>0</v>
      </c>
      <c r="I66" s="15">
        <f>F66+G66+H66</f>
        <v>0</v>
      </c>
    </row>
    <row r="67" spans="1:9" ht="75" hidden="1" customHeight="1" x14ac:dyDescent="0.25">
      <c r="A67" s="14" t="s">
        <v>8</v>
      </c>
      <c r="B67" s="11" t="s">
        <v>22</v>
      </c>
      <c r="C67" s="45">
        <v>2021</v>
      </c>
      <c r="D67" s="45"/>
      <c r="E67" s="8" t="s">
        <v>29</v>
      </c>
      <c r="F67" s="9">
        <f>F68</f>
        <v>0</v>
      </c>
      <c r="G67" s="9">
        <f>G68</f>
        <v>0</v>
      </c>
      <c r="H67" s="9">
        <f>H68</f>
        <v>0</v>
      </c>
      <c r="I67" s="9">
        <f>F67+G67+H67</f>
        <v>0</v>
      </c>
    </row>
    <row r="68" spans="1:9" ht="27" hidden="1" customHeight="1" x14ac:dyDescent="0.25">
      <c r="A68" s="14" t="s">
        <v>53</v>
      </c>
      <c r="B68" s="40" t="s">
        <v>35</v>
      </c>
      <c r="C68" s="45"/>
      <c r="D68" s="45"/>
      <c r="E68" s="38" t="s">
        <v>29</v>
      </c>
      <c r="F68" s="15">
        <v>0</v>
      </c>
      <c r="G68" s="15">
        <v>0</v>
      </c>
      <c r="H68" s="15">
        <v>0</v>
      </c>
      <c r="I68" s="15">
        <f>F68+G68+H68</f>
        <v>0</v>
      </c>
    </row>
    <row r="69" spans="1:9" s="17" customFormat="1" ht="45" customHeight="1" x14ac:dyDescent="0.25">
      <c r="A69" s="58" t="s">
        <v>9</v>
      </c>
      <c r="B69" s="64" t="s">
        <v>20</v>
      </c>
      <c r="C69" s="52">
        <v>2020</v>
      </c>
      <c r="D69" s="52"/>
      <c r="E69" s="20" t="s">
        <v>29</v>
      </c>
      <c r="F69" s="21">
        <v>0</v>
      </c>
      <c r="G69" s="21">
        <f>G71+G73</f>
        <v>1580.0302799999997</v>
      </c>
      <c r="H69" s="21">
        <f>H71</f>
        <v>0</v>
      </c>
      <c r="I69" s="56">
        <f>I71+I73</f>
        <v>1580.0302799999997</v>
      </c>
    </row>
    <row r="70" spans="1:9" s="17" customFormat="1" ht="21.75" customHeight="1" x14ac:dyDescent="0.25">
      <c r="A70" s="59"/>
      <c r="B70" s="65"/>
      <c r="C70" s="52"/>
      <c r="D70" s="52"/>
      <c r="E70" s="20" t="s">
        <v>30</v>
      </c>
      <c r="F70" s="21">
        <v>0</v>
      </c>
      <c r="G70" s="21">
        <f>G74+G76+G72</f>
        <v>0</v>
      </c>
      <c r="H70" s="21">
        <v>0</v>
      </c>
      <c r="I70" s="57"/>
    </row>
    <row r="71" spans="1:9" s="17" customFormat="1" ht="19.5" customHeight="1" x14ac:dyDescent="0.25">
      <c r="A71" s="58" t="s">
        <v>55</v>
      </c>
      <c r="B71" s="60" t="s">
        <v>33</v>
      </c>
      <c r="C71" s="52"/>
      <c r="D71" s="52"/>
      <c r="E71" s="18" t="s">
        <v>29</v>
      </c>
      <c r="F71" s="1">
        <v>0</v>
      </c>
      <c r="G71" s="1">
        <f>1379.58902-36.56328</f>
        <v>1343.0257399999998</v>
      </c>
      <c r="H71" s="1">
        <v>0</v>
      </c>
      <c r="I71" s="56">
        <f>SUM(F71:H72)</f>
        <v>1343.0257399999998</v>
      </c>
    </row>
    <row r="72" spans="1:9" s="17" customFormat="1" ht="15.75" customHeight="1" x14ac:dyDescent="0.25">
      <c r="A72" s="59"/>
      <c r="B72" s="60"/>
      <c r="C72" s="52"/>
      <c r="D72" s="52"/>
      <c r="E72" s="18" t="s">
        <v>30</v>
      </c>
      <c r="F72" s="1">
        <v>0</v>
      </c>
      <c r="G72" s="1">
        <v>0</v>
      </c>
      <c r="H72" s="1">
        <v>0</v>
      </c>
      <c r="I72" s="57"/>
    </row>
    <row r="73" spans="1:9" s="17" customFormat="1" ht="15.75" x14ac:dyDescent="0.25">
      <c r="A73" s="58" t="s">
        <v>56</v>
      </c>
      <c r="B73" s="60" t="s">
        <v>35</v>
      </c>
      <c r="C73" s="52"/>
      <c r="D73" s="52"/>
      <c r="E73" s="18" t="s">
        <v>29</v>
      </c>
      <c r="F73" s="1">
        <v>0</v>
      </c>
      <c r="G73" s="1">
        <f>243.45689-6.45235</f>
        <v>237.00453999999999</v>
      </c>
      <c r="H73" s="1">
        <v>0</v>
      </c>
      <c r="I73" s="56">
        <f>SUM(F73:H74)</f>
        <v>237.00453999999999</v>
      </c>
    </row>
    <row r="74" spans="1:9" s="17" customFormat="1" ht="15.75" x14ac:dyDescent="0.25">
      <c r="A74" s="59"/>
      <c r="B74" s="60"/>
      <c r="C74" s="52"/>
      <c r="D74" s="52"/>
      <c r="E74" s="18" t="s">
        <v>30</v>
      </c>
      <c r="F74" s="1">
        <v>0</v>
      </c>
      <c r="G74" s="1">
        <v>0</v>
      </c>
      <c r="H74" s="1">
        <v>0</v>
      </c>
      <c r="I74" s="57"/>
    </row>
    <row r="75" spans="1:9" ht="75" hidden="1" customHeight="1" x14ac:dyDescent="0.25">
      <c r="A75" s="14" t="s">
        <v>57</v>
      </c>
      <c r="B75" s="11" t="s">
        <v>23</v>
      </c>
      <c r="C75" s="45">
        <v>2022</v>
      </c>
      <c r="D75" s="45"/>
      <c r="E75" s="8" t="s">
        <v>29</v>
      </c>
      <c r="F75" s="9">
        <f>F76</f>
        <v>0</v>
      </c>
      <c r="G75" s="9">
        <v>0</v>
      </c>
      <c r="H75" s="9">
        <f>H76</f>
        <v>0</v>
      </c>
      <c r="I75" s="9">
        <f>F75+G75+H75</f>
        <v>0</v>
      </c>
    </row>
    <row r="76" spans="1:9" ht="27" hidden="1" customHeight="1" x14ac:dyDescent="0.25">
      <c r="A76" s="14" t="s">
        <v>58</v>
      </c>
      <c r="B76" s="40" t="s">
        <v>35</v>
      </c>
      <c r="C76" s="45"/>
      <c r="D76" s="45"/>
      <c r="E76" s="38" t="s">
        <v>29</v>
      </c>
      <c r="F76" s="15">
        <v>0</v>
      </c>
      <c r="G76" s="15">
        <v>0</v>
      </c>
      <c r="H76" s="15">
        <v>0</v>
      </c>
      <c r="I76" s="15">
        <f>F76+G76+H76</f>
        <v>0</v>
      </c>
    </row>
    <row r="77" spans="1:9" ht="50.25" hidden="1" customHeight="1" x14ac:dyDescent="0.25">
      <c r="A77" s="14" t="s">
        <v>88</v>
      </c>
      <c r="B77" s="11" t="s">
        <v>105</v>
      </c>
      <c r="C77" s="46">
        <v>2020</v>
      </c>
      <c r="D77" s="36"/>
      <c r="E77" s="8" t="s">
        <v>29</v>
      </c>
      <c r="F77" s="9">
        <f>F78+F79</f>
        <v>1941.7412200000001</v>
      </c>
      <c r="G77" s="9">
        <f>G78+G79</f>
        <v>0</v>
      </c>
      <c r="H77" s="9">
        <f>H78+H79</f>
        <v>0</v>
      </c>
      <c r="I77" s="9">
        <f t="shared" ref="I77:I79" si="5">SUM(F77:H77)</f>
        <v>1941.7412200000001</v>
      </c>
    </row>
    <row r="78" spans="1:9" ht="27" hidden="1" customHeight="1" x14ac:dyDescent="0.25">
      <c r="A78" s="14" t="s">
        <v>89</v>
      </c>
      <c r="B78" s="40" t="s">
        <v>33</v>
      </c>
      <c r="C78" s="51"/>
      <c r="D78" s="36"/>
      <c r="E78" s="38" t="s">
        <v>29</v>
      </c>
      <c r="F78" s="15">
        <v>1837.3729900000001</v>
      </c>
      <c r="G78" s="15">
        <v>0</v>
      </c>
      <c r="H78" s="15">
        <v>0</v>
      </c>
      <c r="I78" s="9">
        <f t="shared" si="5"/>
        <v>1837.3729900000001</v>
      </c>
    </row>
    <row r="79" spans="1:9" ht="27" hidden="1" customHeight="1" x14ac:dyDescent="0.25">
      <c r="A79" s="14" t="s">
        <v>90</v>
      </c>
      <c r="B79" s="40" t="s">
        <v>35</v>
      </c>
      <c r="C79" s="47"/>
      <c r="D79" s="36"/>
      <c r="E79" s="38" t="s">
        <v>29</v>
      </c>
      <c r="F79" s="15">
        <f>600+100+4.36823-600</f>
        <v>104.36823000000004</v>
      </c>
      <c r="G79" s="15">
        <v>0</v>
      </c>
      <c r="H79" s="15">
        <v>0</v>
      </c>
      <c r="I79" s="9">
        <f t="shared" si="5"/>
        <v>104.36823000000004</v>
      </c>
    </row>
    <row r="80" spans="1:9" ht="64.5" hidden="1" customHeight="1" x14ac:dyDescent="0.25">
      <c r="A80" s="14" t="s">
        <v>91</v>
      </c>
      <c r="B80" s="11" t="s">
        <v>104</v>
      </c>
      <c r="C80" s="46">
        <v>2020</v>
      </c>
      <c r="D80" s="36"/>
      <c r="E80" s="8" t="s">
        <v>29</v>
      </c>
      <c r="F80" s="9">
        <f>F81+F82</f>
        <v>1905.87743</v>
      </c>
      <c r="G80" s="9">
        <f>G81+G82</f>
        <v>0</v>
      </c>
      <c r="H80" s="9">
        <f>H81+H82</f>
        <v>0</v>
      </c>
      <c r="I80" s="9">
        <f>SUM(F80:H80)</f>
        <v>1905.87743</v>
      </c>
    </row>
    <row r="81" spans="1:10" ht="27" hidden="1" customHeight="1" x14ac:dyDescent="0.25">
      <c r="A81" s="14" t="s">
        <v>92</v>
      </c>
      <c r="B81" s="40" t="s">
        <v>33</v>
      </c>
      <c r="C81" s="51"/>
      <c r="D81" s="36"/>
      <c r="E81" s="38" t="s">
        <v>29</v>
      </c>
      <c r="F81" s="15">
        <v>1805.87743</v>
      </c>
      <c r="G81" s="15">
        <v>0</v>
      </c>
      <c r="H81" s="15">
        <v>0</v>
      </c>
      <c r="I81" s="9">
        <f>SUM(F81:H81)</f>
        <v>1805.87743</v>
      </c>
    </row>
    <row r="82" spans="1:10" ht="27" hidden="1" customHeight="1" x14ac:dyDescent="0.25">
      <c r="A82" s="14" t="s">
        <v>93</v>
      </c>
      <c r="B82" s="40" t="s">
        <v>35</v>
      </c>
      <c r="C82" s="47"/>
      <c r="D82" s="36"/>
      <c r="E82" s="38" t="s">
        <v>29</v>
      </c>
      <c r="F82" s="15">
        <f>600+100-600</f>
        <v>100</v>
      </c>
      <c r="G82" s="15">
        <v>0</v>
      </c>
      <c r="H82" s="15">
        <v>0</v>
      </c>
      <c r="I82" s="9">
        <f>SUM(F82:H82)</f>
        <v>100</v>
      </c>
    </row>
    <row r="83" spans="1:10" s="17" customFormat="1" ht="57" customHeight="1" x14ac:dyDescent="0.25">
      <c r="A83" s="23" t="s">
        <v>139</v>
      </c>
      <c r="B83" s="39" t="s">
        <v>163</v>
      </c>
      <c r="C83" s="61">
        <v>2021</v>
      </c>
      <c r="D83" s="37"/>
      <c r="E83" s="18" t="s">
        <v>29</v>
      </c>
      <c r="F83" s="1">
        <f>F84+F85</f>
        <v>338.1943</v>
      </c>
      <c r="G83" s="1">
        <f>G84+G85</f>
        <v>1769.4753000000001</v>
      </c>
      <c r="H83" s="1">
        <f t="shared" ref="H83" si="6">H84+H85</f>
        <v>0</v>
      </c>
      <c r="I83" s="1">
        <f>I84+I85</f>
        <v>2107.6696000000002</v>
      </c>
    </row>
    <row r="84" spans="1:10" s="17" customFormat="1" ht="27" customHeight="1" x14ac:dyDescent="0.25">
      <c r="A84" s="23" t="s">
        <v>140</v>
      </c>
      <c r="B84" s="39" t="s">
        <v>33</v>
      </c>
      <c r="C84" s="62"/>
      <c r="D84" s="37"/>
      <c r="E84" s="18" t="s">
        <v>29</v>
      </c>
      <c r="F84" s="1">
        <v>0</v>
      </c>
      <c r="G84" s="1">
        <v>1504.0540100000001</v>
      </c>
      <c r="H84" s="1">
        <v>0</v>
      </c>
      <c r="I84" s="21">
        <f>SUM(F84:H84)</f>
        <v>1504.0540100000001</v>
      </c>
    </row>
    <row r="85" spans="1:10" s="17" customFormat="1" ht="27" customHeight="1" x14ac:dyDescent="0.25">
      <c r="A85" s="23" t="s">
        <v>141</v>
      </c>
      <c r="B85" s="39" t="s">
        <v>35</v>
      </c>
      <c r="C85" s="63"/>
      <c r="D85" s="37"/>
      <c r="E85" s="18" t="s">
        <v>29</v>
      </c>
      <c r="F85" s="1">
        <v>338.1943</v>
      </c>
      <c r="G85" s="1">
        <v>265.42129</v>
      </c>
      <c r="H85" s="1">
        <f t="shared" ref="H85" si="7">SUM(H84)</f>
        <v>0</v>
      </c>
      <c r="I85" s="21">
        <f>SUM(F85:H85)</f>
        <v>603.61559</v>
      </c>
    </row>
    <row r="86" spans="1:10" s="17" customFormat="1" ht="71.25" customHeight="1" x14ac:dyDescent="0.25">
      <c r="A86" s="23" t="s">
        <v>142</v>
      </c>
      <c r="B86" s="39" t="s">
        <v>164</v>
      </c>
      <c r="C86" s="53">
        <v>2021</v>
      </c>
      <c r="D86" s="37"/>
      <c r="E86" s="18" t="s">
        <v>29</v>
      </c>
      <c r="F86" s="1">
        <f>F87+F88</f>
        <v>255.8081</v>
      </c>
      <c r="G86" s="1">
        <f t="shared" ref="G86:I86" si="8">G87+G88</f>
        <v>1619.6830499999999</v>
      </c>
      <c r="H86" s="1">
        <f t="shared" si="8"/>
        <v>0</v>
      </c>
      <c r="I86" s="1">
        <f t="shared" si="8"/>
        <v>1875.4911499999998</v>
      </c>
    </row>
    <row r="87" spans="1:10" s="17" customFormat="1" ht="27" customHeight="1" x14ac:dyDescent="0.25">
      <c r="A87" s="23" t="s">
        <v>143</v>
      </c>
      <c r="B87" s="39" t="s">
        <v>33</v>
      </c>
      <c r="C87" s="54"/>
      <c r="D87" s="37"/>
      <c r="E87" s="18" t="s">
        <v>29</v>
      </c>
      <c r="F87" s="1">
        <v>0</v>
      </c>
      <c r="G87" s="1">
        <v>1376.7305799999999</v>
      </c>
      <c r="H87" s="1">
        <v>0</v>
      </c>
      <c r="I87" s="21">
        <f>SUM(F87:H87)</f>
        <v>1376.7305799999999</v>
      </c>
    </row>
    <row r="88" spans="1:10" s="17" customFormat="1" ht="27" customHeight="1" x14ac:dyDescent="0.25">
      <c r="A88" s="23" t="s">
        <v>144</v>
      </c>
      <c r="B88" s="39" t="s">
        <v>35</v>
      </c>
      <c r="C88" s="55"/>
      <c r="D88" s="37"/>
      <c r="E88" s="18" t="s">
        <v>29</v>
      </c>
      <c r="F88" s="1">
        <v>255.8081</v>
      </c>
      <c r="G88" s="1">
        <v>242.95247000000001</v>
      </c>
      <c r="H88" s="1">
        <f t="shared" ref="H88" si="9">SUM(H87)</f>
        <v>0</v>
      </c>
      <c r="I88" s="21">
        <f>SUM(F88:H88)</f>
        <v>498.76057000000003</v>
      </c>
    </row>
    <row r="89" spans="1:10" x14ac:dyDescent="0.25">
      <c r="A89" s="42" t="s">
        <v>10</v>
      </c>
      <c r="B89" s="42"/>
      <c r="C89" s="42"/>
      <c r="D89" s="42"/>
      <c r="E89" s="42"/>
      <c r="F89" s="22">
        <f>F75+F70+F69+F67+F65+F39+F38+F31+F30+F23+F22+F15+F14+F9+F8+F77+F80+F61+F49+F46+F52+F55+F58+F83+F86</f>
        <v>1109430.3207700001</v>
      </c>
      <c r="G89" s="22">
        <f>G75+G70+G69+G67+G65+G39+G38+G31+G30+G23+G22+G15+G14+G9+G8+G77+G80+G61+G49+G46+G52+G55+G58+G83+G86</f>
        <v>514181.83847000002</v>
      </c>
      <c r="H89" s="22">
        <f>H75+H70+H69+H67+H65+H39+H38+H31+H30+H23+H22+H15+H14+H9+H8+H77+H80+H61+H49+H46+H52+H55+H58</f>
        <v>112700.27860999999</v>
      </c>
      <c r="I89" s="22">
        <f>SUM(F89:H89)</f>
        <v>1736312.4378500001</v>
      </c>
      <c r="J89" s="5"/>
    </row>
    <row r="90" spans="1:10" x14ac:dyDescent="0.25">
      <c r="A90" s="43" t="s">
        <v>11</v>
      </c>
      <c r="B90" s="43"/>
      <c r="C90" s="43"/>
      <c r="D90" s="43"/>
      <c r="E90" s="43"/>
      <c r="F90" s="43"/>
      <c r="G90" s="43"/>
      <c r="H90" s="43"/>
      <c r="I90" s="43"/>
      <c r="J90" s="5"/>
    </row>
    <row r="91" spans="1:10" s="17" customFormat="1" ht="50.25" customHeight="1" x14ac:dyDescent="0.25">
      <c r="A91" s="23" t="s">
        <v>36</v>
      </c>
      <c r="B91" s="24" t="s">
        <v>18</v>
      </c>
      <c r="C91" s="53">
        <v>2020</v>
      </c>
      <c r="D91" s="53"/>
      <c r="E91" s="48" t="s">
        <v>29</v>
      </c>
      <c r="F91" s="21">
        <f>F92+F93</f>
        <v>32234.279589999998</v>
      </c>
      <c r="G91" s="21">
        <f>G92+G93</f>
        <v>40407.681280000004</v>
      </c>
      <c r="H91" s="21">
        <f>H92+H93</f>
        <v>0</v>
      </c>
      <c r="I91" s="21">
        <f t="shared" ref="I91:I110" si="10">F91+G91+H91</f>
        <v>72641.96087000001</v>
      </c>
    </row>
    <row r="92" spans="1:10" s="17" customFormat="1" ht="27" customHeight="1" x14ac:dyDescent="0.25">
      <c r="A92" s="23" t="s">
        <v>59</v>
      </c>
      <c r="B92" s="39" t="s">
        <v>35</v>
      </c>
      <c r="C92" s="54"/>
      <c r="D92" s="54"/>
      <c r="E92" s="49"/>
      <c r="F92" s="1">
        <f>6176.47059-769.293-205.67855+300</f>
        <v>5501.4990400000006</v>
      </c>
      <c r="G92" s="1">
        <f>6176.47059+599-203.47059-1.69781</f>
        <v>6570.3021900000003</v>
      </c>
      <c r="H92" s="1">
        <v>0</v>
      </c>
      <c r="I92" s="1">
        <f t="shared" si="10"/>
        <v>12071.801230000001</v>
      </c>
    </row>
    <row r="93" spans="1:10" s="17" customFormat="1" ht="27" customHeight="1" x14ac:dyDescent="0.25">
      <c r="A93" s="23" t="s">
        <v>82</v>
      </c>
      <c r="B93" s="39" t="s">
        <v>33</v>
      </c>
      <c r="C93" s="55"/>
      <c r="D93" s="55"/>
      <c r="E93" s="50"/>
      <c r="F93" s="1">
        <f>35000-4359.327-2540.13009-1367.76236</f>
        <v>26732.780549999999</v>
      </c>
      <c r="G93" s="1">
        <f>35000-1153-9.62091</f>
        <v>33837.379090000002</v>
      </c>
      <c r="H93" s="21">
        <v>0</v>
      </c>
      <c r="I93" s="21">
        <f>F93+G93+H93</f>
        <v>60570.159639999998</v>
      </c>
    </row>
    <row r="94" spans="1:10" ht="39" hidden="1" customHeight="1" x14ac:dyDescent="0.25">
      <c r="A94" s="14" t="s">
        <v>165</v>
      </c>
      <c r="B94" s="11" t="s">
        <v>24</v>
      </c>
      <c r="C94" s="45">
        <v>2021</v>
      </c>
      <c r="D94" s="45"/>
      <c r="E94" s="8" t="s">
        <v>29</v>
      </c>
      <c r="F94" s="9">
        <f>F95</f>
        <v>0</v>
      </c>
      <c r="G94" s="9">
        <f>G95</f>
        <v>0</v>
      </c>
      <c r="H94" s="9">
        <v>0</v>
      </c>
      <c r="I94" s="9">
        <f t="shared" si="10"/>
        <v>0</v>
      </c>
    </row>
    <row r="95" spans="1:10" ht="27" hidden="1" customHeight="1" x14ac:dyDescent="0.25">
      <c r="A95" s="14" t="s">
        <v>60</v>
      </c>
      <c r="B95" s="40" t="s">
        <v>35</v>
      </c>
      <c r="C95" s="45"/>
      <c r="D95" s="45"/>
      <c r="E95" s="38" t="s">
        <v>29</v>
      </c>
      <c r="F95" s="15">
        <v>0</v>
      </c>
      <c r="G95" s="15">
        <v>0</v>
      </c>
      <c r="H95" s="15">
        <v>0</v>
      </c>
      <c r="I95" s="15">
        <f t="shared" si="10"/>
        <v>0</v>
      </c>
    </row>
    <row r="96" spans="1:10" ht="39" hidden="1" customHeight="1" x14ac:dyDescent="0.25">
      <c r="A96" s="14" t="s">
        <v>61</v>
      </c>
      <c r="B96" s="11" t="s">
        <v>25</v>
      </c>
      <c r="C96" s="46">
        <v>2020</v>
      </c>
      <c r="D96" s="46"/>
      <c r="E96" s="8" t="s">
        <v>29</v>
      </c>
      <c r="F96" s="9">
        <f>F97+F98+F99</f>
        <v>4680.87943</v>
      </c>
      <c r="G96" s="9">
        <f t="shared" ref="G96:H96" si="11">G97+G98+G99</f>
        <v>0</v>
      </c>
      <c r="H96" s="9">
        <f t="shared" si="11"/>
        <v>0</v>
      </c>
      <c r="I96" s="9">
        <f t="shared" si="10"/>
        <v>4680.87943</v>
      </c>
    </row>
    <row r="97" spans="1:9" ht="27" hidden="1" customHeight="1" x14ac:dyDescent="0.25">
      <c r="A97" s="14" t="s">
        <v>62</v>
      </c>
      <c r="B97" s="40" t="s">
        <v>35</v>
      </c>
      <c r="C97" s="51"/>
      <c r="D97" s="51"/>
      <c r="E97" s="38" t="s">
        <v>29</v>
      </c>
      <c r="F97" s="15">
        <f>205.67855+300+267.30843</f>
        <v>772.9869799999999</v>
      </c>
      <c r="G97" s="15">
        <v>0</v>
      </c>
      <c r="H97" s="15">
        <v>0</v>
      </c>
      <c r="I97" s="15">
        <f t="shared" si="10"/>
        <v>772.9869799999999</v>
      </c>
    </row>
    <row r="98" spans="1:9" ht="27" hidden="1" customHeight="1" x14ac:dyDescent="0.25">
      <c r="A98" s="14" t="s">
        <v>136</v>
      </c>
      <c r="B98" s="40" t="s">
        <v>33</v>
      </c>
      <c r="C98" s="51"/>
      <c r="D98" s="51"/>
      <c r="E98" s="38" t="s">
        <v>29</v>
      </c>
      <c r="F98" s="15">
        <v>1367.7623599999999</v>
      </c>
      <c r="G98" s="15">
        <v>0</v>
      </c>
      <c r="H98" s="15">
        <v>0</v>
      </c>
      <c r="I98" s="15">
        <f>SUM(F98:H98)</f>
        <v>1367.7623599999999</v>
      </c>
    </row>
    <row r="99" spans="1:9" ht="27" hidden="1" customHeight="1" x14ac:dyDescent="0.25">
      <c r="A99" s="14" t="s">
        <v>137</v>
      </c>
      <c r="B99" s="40" t="s">
        <v>31</v>
      </c>
      <c r="C99" s="47"/>
      <c r="D99" s="47"/>
      <c r="E99" s="38" t="s">
        <v>29</v>
      </c>
      <c r="F99" s="15">
        <v>2540.1300900000001</v>
      </c>
      <c r="G99" s="15">
        <v>0</v>
      </c>
      <c r="H99" s="15">
        <v>0</v>
      </c>
      <c r="I99" s="15">
        <f>SUM(F99:H99)</f>
        <v>2540.1300900000001</v>
      </c>
    </row>
    <row r="100" spans="1:9" ht="39" hidden="1" customHeight="1" x14ac:dyDescent="0.25">
      <c r="A100" s="14" t="s">
        <v>63</v>
      </c>
      <c r="B100" s="11" t="s">
        <v>65</v>
      </c>
      <c r="C100" s="45">
        <v>2022</v>
      </c>
      <c r="D100" s="45"/>
      <c r="E100" s="8" t="s">
        <v>29</v>
      </c>
      <c r="F100" s="9">
        <f>F101</f>
        <v>0</v>
      </c>
      <c r="G100" s="9">
        <v>0</v>
      </c>
      <c r="H100" s="9">
        <f>H101</f>
        <v>0</v>
      </c>
      <c r="I100" s="9">
        <f t="shared" si="10"/>
        <v>0</v>
      </c>
    </row>
    <row r="101" spans="1:9" ht="27" hidden="1" customHeight="1" x14ac:dyDescent="0.25">
      <c r="A101" s="14" t="s">
        <v>64</v>
      </c>
      <c r="B101" s="40" t="s">
        <v>35</v>
      </c>
      <c r="C101" s="45"/>
      <c r="D101" s="45"/>
      <c r="E101" s="38" t="s">
        <v>29</v>
      </c>
      <c r="F101" s="15">
        <v>0</v>
      </c>
      <c r="G101" s="15">
        <v>0</v>
      </c>
      <c r="H101" s="15">
        <v>0</v>
      </c>
      <c r="I101" s="15">
        <f t="shared" si="10"/>
        <v>0</v>
      </c>
    </row>
    <row r="102" spans="1:9" ht="39" hidden="1" customHeight="1" x14ac:dyDescent="0.25">
      <c r="A102" s="14" t="s">
        <v>66</v>
      </c>
      <c r="B102" s="11" t="s">
        <v>26</v>
      </c>
      <c r="C102" s="45">
        <v>2022</v>
      </c>
      <c r="D102" s="45"/>
      <c r="E102" s="8" t="s">
        <v>29</v>
      </c>
      <c r="F102" s="9">
        <f>F103</f>
        <v>0</v>
      </c>
      <c r="G102" s="9">
        <v>0</v>
      </c>
      <c r="H102" s="9">
        <f>H103</f>
        <v>0</v>
      </c>
      <c r="I102" s="9">
        <f t="shared" si="10"/>
        <v>0</v>
      </c>
    </row>
    <row r="103" spans="1:9" ht="27" hidden="1" customHeight="1" x14ac:dyDescent="0.25">
      <c r="A103" s="14" t="s">
        <v>67</v>
      </c>
      <c r="B103" s="40" t="s">
        <v>35</v>
      </c>
      <c r="C103" s="45"/>
      <c r="D103" s="45"/>
      <c r="E103" s="38" t="s">
        <v>29</v>
      </c>
      <c r="F103" s="15">
        <v>0</v>
      </c>
      <c r="G103" s="15">
        <v>0</v>
      </c>
      <c r="H103" s="15">
        <v>0</v>
      </c>
      <c r="I103" s="15">
        <f t="shared" si="10"/>
        <v>0</v>
      </c>
    </row>
    <row r="104" spans="1:9" s="17" customFormat="1" ht="39" customHeight="1" x14ac:dyDescent="0.25">
      <c r="A104" s="23" t="s">
        <v>68</v>
      </c>
      <c r="B104" s="24" t="s">
        <v>17</v>
      </c>
      <c r="C104" s="53">
        <v>2020</v>
      </c>
      <c r="D104" s="53"/>
      <c r="E104" s="48" t="s">
        <v>29</v>
      </c>
      <c r="F104" s="21">
        <f>F105+F106</f>
        <v>25305.524699999998</v>
      </c>
      <c r="G104" s="21">
        <f>G105+G106</f>
        <v>4415.2632100000001</v>
      </c>
      <c r="H104" s="21">
        <f>H105+H106</f>
        <v>0</v>
      </c>
      <c r="I104" s="21">
        <f t="shared" si="10"/>
        <v>29720.787909999999</v>
      </c>
    </row>
    <row r="105" spans="1:9" s="17" customFormat="1" ht="27" customHeight="1" x14ac:dyDescent="0.25">
      <c r="A105" s="23" t="s">
        <v>69</v>
      </c>
      <c r="B105" s="39" t="s">
        <v>35</v>
      </c>
      <c r="C105" s="54"/>
      <c r="D105" s="54"/>
      <c r="E105" s="49"/>
      <c r="F105" s="1">
        <f>3761.64706+227.87724+0.0004</f>
        <v>3989.5246999999995</v>
      </c>
      <c r="G105" s="1">
        <f>727.02353-39.9863-24.74775</f>
        <v>662.28948000000003</v>
      </c>
      <c r="H105" s="1">
        <v>0</v>
      </c>
      <c r="I105" s="1">
        <f t="shared" si="10"/>
        <v>4651.8141799999994</v>
      </c>
    </row>
    <row r="106" spans="1:9" s="17" customFormat="1" ht="27" customHeight="1" x14ac:dyDescent="0.25">
      <c r="A106" s="23" t="s">
        <v>83</v>
      </c>
      <c r="B106" s="39" t="s">
        <v>33</v>
      </c>
      <c r="C106" s="55"/>
      <c r="D106" s="55"/>
      <c r="E106" s="50"/>
      <c r="F106" s="1">
        <v>21316</v>
      </c>
      <c r="G106" s="1">
        <f>4119.8-226.58902-140.23725</f>
        <v>3752.9737300000002</v>
      </c>
      <c r="H106" s="1">
        <v>0</v>
      </c>
      <c r="I106" s="1">
        <f t="shared" si="10"/>
        <v>25068.973730000002</v>
      </c>
    </row>
    <row r="107" spans="1:9" ht="47.25" hidden="1" customHeight="1" x14ac:dyDescent="0.25">
      <c r="A107" s="14" t="s">
        <v>72</v>
      </c>
      <c r="B107" s="11" t="s">
        <v>70</v>
      </c>
      <c r="C107" s="46">
        <v>2021</v>
      </c>
      <c r="D107" s="46"/>
      <c r="E107" s="8" t="s">
        <v>29</v>
      </c>
      <c r="F107" s="9">
        <f>F108</f>
        <v>0</v>
      </c>
      <c r="G107" s="9">
        <f>G108+G109+G110</f>
        <v>11003.636129999999</v>
      </c>
      <c r="H107" s="9">
        <f>H108</f>
        <v>0</v>
      </c>
      <c r="I107" s="9">
        <f t="shared" si="10"/>
        <v>11003.636129999999</v>
      </c>
    </row>
    <row r="108" spans="1:9" ht="27" hidden="1" customHeight="1" x14ac:dyDescent="0.25">
      <c r="A108" s="14" t="s">
        <v>73</v>
      </c>
      <c r="B108" s="40" t="s">
        <v>35</v>
      </c>
      <c r="C108" s="51"/>
      <c r="D108" s="51"/>
      <c r="E108" s="38" t="s">
        <v>29</v>
      </c>
      <c r="F108" s="15">
        <v>0</v>
      </c>
      <c r="G108" s="15">
        <f>543.94909+124.65432</f>
        <v>668.60340999999994</v>
      </c>
      <c r="H108" s="15">
        <v>0</v>
      </c>
      <c r="I108" s="15">
        <f t="shared" si="10"/>
        <v>668.60340999999994</v>
      </c>
    </row>
    <row r="109" spans="1:9" ht="27" hidden="1" customHeight="1" x14ac:dyDescent="0.25">
      <c r="A109" s="14" t="s">
        <v>146</v>
      </c>
      <c r="B109" s="40" t="s">
        <v>33</v>
      </c>
      <c r="C109" s="51"/>
      <c r="D109" s="51"/>
      <c r="E109" s="38" t="s">
        <v>29</v>
      </c>
      <c r="F109" s="15">
        <v>0</v>
      </c>
      <c r="G109" s="15">
        <v>3617.2615000000001</v>
      </c>
      <c r="H109" s="15">
        <v>0</v>
      </c>
      <c r="I109" s="15">
        <f t="shared" si="10"/>
        <v>3617.2615000000001</v>
      </c>
    </row>
    <row r="110" spans="1:9" ht="27" hidden="1" customHeight="1" x14ac:dyDescent="0.25">
      <c r="A110" s="14" t="s">
        <v>147</v>
      </c>
      <c r="B110" s="40" t="s">
        <v>31</v>
      </c>
      <c r="C110" s="47"/>
      <c r="D110" s="47"/>
      <c r="E110" s="38" t="s">
        <v>29</v>
      </c>
      <c r="F110" s="15">
        <v>0</v>
      </c>
      <c r="G110" s="15">
        <v>6717.7712199999996</v>
      </c>
      <c r="H110" s="15">
        <v>0</v>
      </c>
      <c r="I110" s="15">
        <f t="shared" si="10"/>
        <v>6717.7712199999996</v>
      </c>
    </row>
    <row r="111" spans="1:9" ht="51" hidden="1" customHeight="1" x14ac:dyDescent="0.25">
      <c r="A111" s="14" t="s">
        <v>84</v>
      </c>
      <c r="B111" s="11" t="s">
        <v>138</v>
      </c>
      <c r="C111" s="46">
        <v>2020</v>
      </c>
      <c r="D111" s="46"/>
      <c r="E111" s="8" t="s">
        <v>29</v>
      </c>
      <c r="F111" s="9">
        <f>F112+F113+F114</f>
        <v>2968.6050799999998</v>
      </c>
      <c r="G111" s="9">
        <f>G112+G113+G114</f>
        <v>0</v>
      </c>
      <c r="H111" s="9">
        <f>H112+H113+H114</f>
        <v>0</v>
      </c>
      <c r="I111" s="9">
        <f>F111+G111+H111</f>
        <v>2968.6050799999998</v>
      </c>
    </row>
    <row r="112" spans="1:9" ht="27" hidden="1" customHeight="1" x14ac:dyDescent="0.25">
      <c r="A112" s="14" t="s">
        <v>85</v>
      </c>
      <c r="B112" s="12" t="s">
        <v>31</v>
      </c>
      <c r="C112" s="51"/>
      <c r="D112" s="51"/>
      <c r="E112" s="38" t="s">
        <v>29</v>
      </c>
      <c r="F112" s="15">
        <v>1414.2249999999999</v>
      </c>
      <c r="G112" s="15">
        <v>0</v>
      </c>
      <c r="H112" s="15">
        <v>0</v>
      </c>
      <c r="I112" s="15">
        <f>F112+G112+H112</f>
        <v>1414.2249999999999</v>
      </c>
    </row>
    <row r="113" spans="1:9" ht="27" hidden="1" customHeight="1" x14ac:dyDescent="0.25">
      <c r="A113" s="14" t="s">
        <v>86</v>
      </c>
      <c r="B113" s="40" t="s">
        <v>33</v>
      </c>
      <c r="C113" s="51"/>
      <c r="D113" s="51"/>
      <c r="E113" s="38" t="s">
        <v>29</v>
      </c>
      <c r="F113" s="15">
        <v>761.50599999999997</v>
      </c>
      <c r="G113" s="15">
        <v>0</v>
      </c>
      <c r="H113" s="15">
        <v>0</v>
      </c>
      <c r="I113" s="15">
        <f>F113+G113+H113</f>
        <v>761.50599999999997</v>
      </c>
    </row>
    <row r="114" spans="1:9" ht="27" hidden="1" customHeight="1" x14ac:dyDescent="0.25">
      <c r="A114" s="14" t="s">
        <v>87</v>
      </c>
      <c r="B114" s="40" t="s">
        <v>35</v>
      </c>
      <c r="C114" s="47"/>
      <c r="D114" s="47"/>
      <c r="E114" s="38" t="s">
        <v>29</v>
      </c>
      <c r="F114" s="15">
        <f>241.75+12+120.87355+30.25213+88-0.0016+300</f>
        <v>792.87408000000005</v>
      </c>
      <c r="G114" s="15">
        <v>0</v>
      </c>
      <c r="H114" s="15">
        <v>0</v>
      </c>
      <c r="I114" s="15">
        <f>F114+G114+H114</f>
        <v>792.87408000000005</v>
      </c>
    </row>
    <row r="115" spans="1:9" ht="79.5" hidden="1" customHeight="1" x14ac:dyDescent="0.25">
      <c r="A115" s="14" t="s">
        <v>107</v>
      </c>
      <c r="B115" s="11" t="s">
        <v>134</v>
      </c>
      <c r="C115" s="46">
        <v>2020</v>
      </c>
      <c r="D115" s="46"/>
      <c r="E115" s="8" t="s">
        <v>29</v>
      </c>
      <c r="F115" s="9">
        <f>F116+F117</f>
        <v>5442.7124899999999</v>
      </c>
      <c r="G115" s="9">
        <f>G116+G117</f>
        <v>0</v>
      </c>
      <c r="H115" s="9">
        <f>H116+H117</f>
        <v>0</v>
      </c>
      <c r="I115" s="9">
        <f>SUM(F115:H115)</f>
        <v>5442.7124899999999</v>
      </c>
    </row>
    <row r="116" spans="1:9" ht="27" hidden="1" customHeight="1" x14ac:dyDescent="0.25">
      <c r="A116" s="14" t="s">
        <v>108</v>
      </c>
      <c r="B116" s="40" t="s">
        <v>33</v>
      </c>
      <c r="C116" s="51"/>
      <c r="D116" s="51"/>
      <c r="E116" s="38" t="s">
        <v>29</v>
      </c>
      <c r="F116" s="15">
        <f>0+4359.327</f>
        <v>4359.3270000000002</v>
      </c>
      <c r="G116" s="15">
        <v>0</v>
      </c>
      <c r="H116" s="15">
        <v>0</v>
      </c>
      <c r="I116" s="15">
        <f>SUM(F116:H116)</f>
        <v>4359.3270000000002</v>
      </c>
    </row>
    <row r="117" spans="1:9" ht="27" hidden="1" customHeight="1" x14ac:dyDescent="0.25">
      <c r="A117" s="14" t="s">
        <v>109</v>
      </c>
      <c r="B117" s="40" t="s">
        <v>35</v>
      </c>
      <c r="C117" s="47"/>
      <c r="D117" s="47"/>
      <c r="E117" s="38" t="s">
        <v>29</v>
      </c>
      <c r="F117" s="15">
        <f>14.09249+769.293+300</f>
        <v>1083.3854900000001</v>
      </c>
      <c r="G117" s="15">
        <v>0</v>
      </c>
      <c r="H117" s="15">
        <v>0</v>
      </c>
      <c r="I117" s="15">
        <f>SUM(F117:H117)</f>
        <v>1083.3854900000001</v>
      </c>
    </row>
    <row r="118" spans="1:9" ht="37.5" hidden="1" customHeight="1" x14ac:dyDescent="0.25">
      <c r="A118" s="14" t="s">
        <v>149</v>
      </c>
      <c r="B118" s="11" t="s">
        <v>155</v>
      </c>
      <c r="C118" s="46">
        <v>2021</v>
      </c>
      <c r="D118" s="46"/>
      <c r="E118" s="8" t="s">
        <v>29</v>
      </c>
      <c r="F118" s="9">
        <f>F119</f>
        <v>0</v>
      </c>
      <c r="G118" s="9">
        <f>G119</f>
        <v>42.837900000000005</v>
      </c>
      <c r="H118" s="9">
        <f>H119</f>
        <v>0</v>
      </c>
      <c r="I118" s="9">
        <f t="shared" ref="I118:I123" si="12">F118+G118+H118</f>
        <v>42.837900000000005</v>
      </c>
    </row>
    <row r="119" spans="1:9" ht="27" hidden="1" customHeight="1" x14ac:dyDescent="0.25">
      <c r="A119" s="14" t="s">
        <v>150</v>
      </c>
      <c r="B119" s="40" t="s">
        <v>151</v>
      </c>
      <c r="C119" s="47"/>
      <c r="D119" s="47"/>
      <c r="E119" s="38" t="s">
        <v>29</v>
      </c>
      <c r="F119" s="15">
        <v>0</v>
      </c>
      <c r="G119" s="15">
        <f>122.54209-79.70419</f>
        <v>42.837900000000005</v>
      </c>
      <c r="H119" s="15">
        <v>0</v>
      </c>
      <c r="I119" s="15">
        <f t="shared" si="12"/>
        <v>42.837900000000005</v>
      </c>
    </row>
    <row r="120" spans="1:9" ht="54.75" hidden="1" customHeight="1" x14ac:dyDescent="0.25">
      <c r="A120" s="14" t="s">
        <v>153</v>
      </c>
      <c r="B120" s="11" t="s">
        <v>152</v>
      </c>
      <c r="C120" s="45">
        <v>2021</v>
      </c>
      <c r="D120" s="45"/>
      <c r="E120" s="8" t="s">
        <v>29</v>
      </c>
      <c r="F120" s="9">
        <f>F121</f>
        <v>0</v>
      </c>
      <c r="G120" s="9">
        <f>G121</f>
        <v>50</v>
      </c>
      <c r="H120" s="9">
        <f>H121</f>
        <v>0</v>
      </c>
      <c r="I120" s="9">
        <f t="shared" si="12"/>
        <v>50</v>
      </c>
    </row>
    <row r="121" spans="1:9" ht="27" hidden="1" customHeight="1" x14ac:dyDescent="0.25">
      <c r="A121" s="14" t="s">
        <v>154</v>
      </c>
      <c r="B121" s="40" t="s">
        <v>151</v>
      </c>
      <c r="C121" s="45"/>
      <c r="D121" s="45"/>
      <c r="E121" s="38" t="s">
        <v>29</v>
      </c>
      <c r="F121" s="15">
        <v>0</v>
      </c>
      <c r="G121" s="15">
        <v>50</v>
      </c>
      <c r="H121" s="15">
        <v>0</v>
      </c>
      <c r="I121" s="15">
        <f t="shared" si="12"/>
        <v>50</v>
      </c>
    </row>
    <row r="122" spans="1:9" ht="39" hidden="1" customHeight="1" x14ac:dyDescent="0.25">
      <c r="A122" s="14" t="s">
        <v>156</v>
      </c>
      <c r="B122" s="11" t="s">
        <v>157</v>
      </c>
      <c r="C122" s="45">
        <v>2021</v>
      </c>
      <c r="D122" s="45"/>
      <c r="E122" s="8" t="s">
        <v>29</v>
      </c>
      <c r="F122" s="9">
        <f>F123</f>
        <v>0</v>
      </c>
      <c r="G122" s="9">
        <f>G123</f>
        <v>40</v>
      </c>
      <c r="H122" s="9">
        <f>H123</f>
        <v>0</v>
      </c>
      <c r="I122" s="9">
        <f t="shared" si="12"/>
        <v>40</v>
      </c>
    </row>
    <row r="123" spans="1:9" ht="27" hidden="1" customHeight="1" x14ac:dyDescent="0.25">
      <c r="A123" s="14" t="s">
        <v>158</v>
      </c>
      <c r="B123" s="40" t="s">
        <v>151</v>
      </c>
      <c r="C123" s="45"/>
      <c r="D123" s="45"/>
      <c r="E123" s="38" t="s">
        <v>29</v>
      </c>
      <c r="F123" s="15">
        <v>0</v>
      </c>
      <c r="G123" s="15">
        <v>40</v>
      </c>
      <c r="H123" s="15">
        <v>0</v>
      </c>
      <c r="I123" s="15">
        <f t="shared" si="12"/>
        <v>40</v>
      </c>
    </row>
    <row r="124" spans="1:9" s="17" customFormat="1" ht="39" customHeight="1" x14ac:dyDescent="0.25">
      <c r="A124" s="23" t="s">
        <v>159</v>
      </c>
      <c r="B124" s="24" t="s">
        <v>160</v>
      </c>
      <c r="C124" s="52">
        <v>2021</v>
      </c>
      <c r="D124" s="52"/>
      <c r="E124" s="20" t="s">
        <v>29</v>
      </c>
      <c r="F124" s="21">
        <f>F125+F126</f>
        <v>0</v>
      </c>
      <c r="G124" s="21">
        <f>G125+G126</f>
        <v>1145.56125</v>
      </c>
      <c r="H124" s="21">
        <f>H125+H126</f>
        <v>0</v>
      </c>
      <c r="I124" s="21">
        <f>SUM(F124:H124)</f>
        <v>1145.56125</v>
      </c>
    </row>
    <row r="125" spans="1:9" s="17" customFormat="1" ht="30" customHeight="1" x14ac:dyDescent="0.25">
      <c r="A125" s="23" t="s">
        <v>161</v>
      </c>
      <c r="B125" s="39" t="s">
        <v>33</v>
      </c>
      <c r="C125" s="52"/>
      <c r="D125" s="52"/>
      <c r="E125" s="18" t="s">
        <v>29</v>
      </c>
      <c r="F125" s="1">
        <v>0</v>
      </c>
      <c r="G125" s="1">
        <f>3570-2694.36315</f>
        <v>875.63684999999987</v>
      </c>
      <c r="H125" s="1">
        <v>0</v>
      </c>
      <c r="I125" s="1">
        <f>SUM(F125:H125)</f>
        <v>875.63684999999987</v>
      </c>
    </row>
    <row r="126" spans="1:9" s="17" customFormat="1" ht="27" customHeight="1" x14ac:dyDescent="0.25">
      <c r="A126" s="23" t="s">
        <v>162</v>
      </c>
      <c r="B126" s="39" t="s">
        <v>151</v>
      </c>
      <c r="C126" s="52"/>
      <c r="D126" s="52"/>
      <c r="E126" s="18" t="s">
        <v>29</v>
      </c>
      <c r="F126" s="1">
        <v>0</v>
      </c>
      <c r="G126" s="1">
        <f>115.40025+630-475.47585</f>
        <v>269.92440000000005</v>
      </c>
      <c r="H126" s="1">
        <v>0</v>
      </c>
      <c r="I126" s="1">
        <f>SUM(F126:H126)</f>
        <v>269.92440000000005</v>
      </c>
    </row>
    <row r="127" spans="1:9" s="34" customFormat="1" x14ac:dyDescent="0.25">
      <c r="A127" s="42" t="s">
        <v>71</v>
      </c>
      <c r="B127" s="42"/>
      <c r="C127" s="42"/>
      <c r="D127" s="42"/>
      <c r="E127" s="42"/>
      <c r="F127" s="19">
        <f>F107+F104+F102+F100+F96+F91+F94+F111+F115+F118+F120+F122+F124</f>
        <v>70632.00129</v>
      </c>
      <c r="G127" s="19">
        <f>G107+G104+G102+G100+G96+G91+G94+G111+G115+G118+G120+G122+G124</f>
        <v>57104.979770000005</v>
      </c>
      <c r="H127" s="19">
        <f>H107+H104+H102+H100+H96+H91+H94+H111+H115</f>
        <v>0</v>
      </c>
      <c r="I127" s="19">
        <f>I107+I104+I102+I100+I96+I91+I94+I111+I115+I118+I120+I122+I124</f>
        <v>127736.98106000001</v>
      </c>
    </row>
    <row r="128" spans="1:9" hidden="1" x14ac:dyDescent="0.25">
      <c r="A128" s="43" t="s">
        <v>14</v>
      </c>
      <c r="B128" s="44"/>
      <c r="C128" s="44"/>
      <c r="D128" s="44"/>
      <c r="E128" s="44"/>
      <c r="F128" s="44"/>
      <c r="G128" s="44"/>
      <c r="H128" s="44"/>
      <c r="I128" s="44"/>
    </row>
    <row r="129" spans="1:10" ht="104.25" hidden="1" customHeight="1" x14ac:dyDescent="0.25">
      <c r="A129" s="14" t="s">
        <v>74</v>
      </c>
      <c r="B129" s="11" t="s">
        <v>15</v>
      </c>
      <c r="C129" s="45" t="s">
        <v>16</v>
      </c>
      <c r="D129" s="46"/>
      <c r="E129" s="8" t="s">
        <v>30</v>
      </c>
      <c r="F129" s="9">
        <f>F130</f>
        <v>11159.83647</v>
      </c>
      <c r="G129" s="9">
        <f>G130</f>
        <v>9023.7570300000007</v>
      </c>
      <c r="H129" s="9">
        <f>H130</f>
        <v>8000</v>
      </c>
      <c r="I129" s="35">
        <f>SUM(F129:H129)</f>
        <v>28183.593500000003</v>
      </c>
    </row>
    <row r="130" spans="1:10" ht="27" hidden="1" customHeight="1" x14ac:dyDescent="0.25">
      <c r="A130" s="14" t="s">
        <v>75</v>
      </c>
      <c r="B130" s="40" t="s">
        <v>35</v>
      </c>
      <c r="C130" s="45"/>
      <c r="D130" s="47"/>
      <c r="E130" s="38" t="s">
        <v>30</v>
      </c>
      <c r="F130" s="15">
        <f>7950+2183.42701+1026.40946</f>
        <v>11159.83647</v>
      </c>
      <c r="G130" s="15">
        <f>8000+2000-976.24297</f>
        <v>9023.7570300000007</v>
      </c>
      <c r="H130" s="15">
        <v>8000</v>
      </c>
      <c r="I130" s="15">
        <f>F130+G130+H130</f>
        <v>28183.593500000003</v>
      </c>
    </row>
    <row r="131" spans="1:10" ht="27" hidden="1" customHeight="1" x14ac:dyDescent="0.25">
      <c r="A131" s="14" t="s">
        <v>110</v>
      </c>
      <c r="B131" s="11" t="s">
        <v>111</v>
      </c>
      <c r="C131" s="46" t="s">
        <v>16</v>
      </c>
      <c r="D131" s="46"/>
      <c r="E131" s="8" t="s">
        <v>29</v>
      </c>
      <c r="F131" s="9">
        <f>F132+F133</f>
        <v>6980.52603</v>
      </c>
      <c r="G131" s="9">
        <f>G132+G133</f>
        <v>11753.72379</v>
      </c>
      <c r="H131" s="9">
        <f>H132+H133</f>
        <v>0</v>
      </c>
      <c r="I131" s="9">
        <f>F131+G131+H131</f>
        <v>18734.249820000001</v>
      </c>
    </row>
    <row r="132" spans="1:10" ht="27" hidden="1" customHeight="1" x14ac:dyDescent="0.25">
      <c r="A132" s="14" t="s">
        <v>112</v>
      </c>
      <c r="B132" s="40" t="s">
        <v>35</v>
      </c>
      <c r="C132" s="51"/>
      <c r="D132" s="51"/>
      <c r="E132" s="38" t="s">
        <v>29</v>
      </c>
      <c r="F132" s="15">
        <f>732.33714+147.40951+14.6469+ 4970.79459+1115.33789</f>
        <v>6980.52603</v>
      </c>
      <c r="G132" s="15">
        <v>0</v>
      </c>
      <c r="H132" s="15">
        <v>0</v>
      </c>
      <c r="I132" s="15">
        <f>SUM(F132:H132)</f>
        <v>6980.52603</v>
      </c>
    </row>
    <row r="133" spans="1:10" ht="27" hidden="1" customHeight="1" x14ac:dyDescent="0.25">
      <c r="A133" s="14" t="s">
        <v>148</v>
      </c>
      <c r="B133" s="40" t="s">
        <v>35</v>
      </c>
      <c r="C133" s="47"/>
      <c r="D133" s="47"/>
      <c r="E133" s="38" t="s">
        <v>30</v>
      </c>
      <c r="F133" s="15">
        <v>0</v>
      </c>
      <c r="G133" s="15">
        <v>11753.72379</v>
      </c>
      <c r="H133" s="15">
        <v>0</v>
      </c>
      <c r="I133" s="15">
        <f>SUM(F133:H133)</f>
        <v>11753.72379</v>
      </c>
    </row>
    <row r="134" spans="1:10" s="34" customFormat="1" hidden="1" x14ac:dyDescent="0.25">
      <c r="A134" s="42" t="s">
        <v>76</v>
      </c>
      <c r="B134" s="42"/>
      <c r="C134" s="42"/>
      <c r="D134" s="42"/>
      <c r="E134" s="42"/>
      <c r="F134" s="19">
        <f>F129+F131</f>
        <v>18140.362499999999</v>
      </c>
      <c r="G134" s="19">
        <f>G129+G131</f>
        <v>20777.480820000001</v>
      </c>
      <c r="H134" s="19">
        <f>H129+H131</f>
        <v>8000</v>
      </c>
      <c r="I134" s="19">
        <f>I129+I131</f>
        <v>46917.84332</v>
      </c>
    </row>
    <row r="135" spans="1:10" x14ac:dyDescent="0.25">
      <c r="A135" s="42" t="s">
        <v>12</v>
      </c>
      <c r="B135" s="42"/>
      <c r="C135" s="42"/>
      <c r="D135" s="42"/>
      <c r="E135" s="42"/>
      <c r="F135" s="19">
        <f>F134+F127+F89</f>
        <v>1198202.6845600002</v>
      </c>
      <c r="G135" s="19">
        <f>G89+G127+G134</f>
        <v>592064.29906000011</v>
      </c>
      <c r="H135" s="19">
        <f>H134+H127+H89</f>
        <v>120700.27860999999</v>
      </c>
      <c r="I135" s="19">
        <f>SUM(F135:H135)</f>
        <v>1910967.2622300002</v>
      </c>
      <c r="J135" s="5"/>
    </row>
    <row r="136" spans="1:10" x14ac:dyDescent="0.25">
      <c r="I136" s="34"/>
    </row>
    <row r="138" spans="1:10" x14ac:dyDescent="0.25">
      <c r="C138" s="3" t="s">
        <v>131</v>
      </c>
    </row>
    <row r="139" spans="1:10" x14ac:dyDescent="0.25">
      <c r="C139" s="13" t="s">
        <v>77</v>
      </c>
      <c r="D139" s="6">
        <f>I16+I24+I32+I40+I112+I99+I110</f>
        <v>554471.54768999992</v>
      </c>
      <c r="F139" s="2" t="s">
        <v>80</v>
      </c>
      <c r="G139" s="2" t="s">
        <v>79</v>
      </c>
    </row>
    <row r="140" spans="1:10" x14ac:dyDescent="0.25">
      <c r="C140" s="13" t="s">
        <v>13</v>
      </c>
      <c r="D140" s="6">
        <f>I10+I18+I26+I34+I42+I71+I113+I106+I93+I81+I78+I63+I48+I51+I54+I57+I60+I116+I98+I87+I84+I109+I125</f>
        <v>1196743.4568499997</v>
      </c>
      <c r="F140" s="5">
        <f>F12+F13+F20+F21+F28+F29+F36+F37+F44+F45+F66+F68+F73+F74+F92+F76+F95+F97+F101+F103+F105+F108+F130+F114+F79+F82+F62+F50+F47+F117+F132+F53+F56+F59+F85+F88</f>
        <v>89583.020179999978</v>
      </c>
      <c r="G140" s="5">
        <f>G12+G13+G20+G21+G28+G29+G36+G37+G44+G45+G66+G68+G73+G74+G92+G76+G95+G97+G101+G103+G105+G108+G130+G114+G79+G82+G62+G50+G47+G117+G132+G53+G56+G59+G85+G88+G133+G119+G121+G126+G123</f>
        <v>56534.22358000002</v>
      </c>
      <c r="H140" s="5">
        <f>H12+H13+H20+H21+H28+H29+H36+H37+H44+H45+H66+H68+H73+H74+H92+H76+H95+H97+H101+H103+H105+H108+H130+H114+H79+H82+H62+H50+H47+H117+H132+H53+H56+H59+H85+H88</f>
        <v>13635.013929999999</v>
      </c>
      <c r="I140" s="7">
        <f>F140+G140+H140+F141+G141+H141</f>
        <v>1910967.2622300002</v>
      </c>
    </row>
    <row r="141" spans="1:10" x14ac:dyDescent="0.25">
      <c r="C141" s="13" t="s">
        <v>78</v>
      </c>
      <c r="D141" s="6">
        <f>I130+I108+I105+I103+I101+I97+I95+I92+I76+I73+I68+I66+I44+I36+I28+I20+I12+I114+I79+I82+I62+I50+I47+I117+I132+I53+I56+I59+I88+I85+I133+I126+I118+I121+I123</f>
        <v>159752.25769</v>
      </c>
      <c r="F141" s="5">
        <f>F10+F11+F16+F17+F18+F19+F24+F25+F26+F27+F32+F33+F34+F35+F40+F41+F42+F43+F71+F72+F113+F112+F106+F93+F78+F81+F63+F48+F51+F54+F57+F60+F116+F98+F99+F87+F84</f>
        <v>1108619.6643800002</v>
      </c>
      <c r="G141" s="5">
        <f>G10+G11+G16+G17+G18+G19+G24+G25+G26+G27+G32+G33+G34+G35+G40+G41+G42+G43+G71+G72+G113+G112+G106+G93+G78+G81+G63+G48+G51+G54+G57+G60+G116+G98+G99+G87+G84+G109+G110+G125</f>
        <v>535530.07548000012</v>
      </c>
      <c r="H141" s="5">
        <f>H10+H11+H16+H17+H18+H19+H24+H25+H26+H27+H32+H33+H34+H35+H40+H41+H42+H43+H71+H72+H113+H112+H106+H93+H78+H81+H63+H48+H51+H54+H57+H60+H116+H98+H99+H87+H84</f>
        <v>107065.26467999999</v>
      </c>
    </row>
    <row r="142" spans="1:10" x14ac:dyDescent="0.25">
      <c r="C142" s="13" t="s">
        <v>132</v>
      </c>
      <c r="D142" s="6">
        <f>SUM(D139:D141)</f>
        <v>1910967.2622299995</v>
      </c>
    </row>
    <row r="144" spans="1:10" x14ac:dyDescent="0.25">
      <c r="E144" s="5">
        <f>D140+D139</f>
        <v>1751215.0045399996</v>
      </c>
      <c r="G144" s="5"/>
    </row>
    <row r="145" spans="3:9" x14ac:dyDescent="0.25">
      <c r="F145" s="5"/>
      <c r="I145" s="7"/>
    </row>
    <row r="148" spans="3:9" x14ac:dyDescent="0.25">
      <c r="C148" s="13" t="s">
        <v>133</v>
      </c>
      <c r="D148" s="6">
        <f>SUM(D139+D140)</f>
        <v>1751215.0045399996</v>
      </c>
    </row>
    <row r="151" spans="3:9" x14ac:dyDescent="0.25">
      <c r="D151" s="6"/>
    </row>
    <row r="152" spans="3:9" x14ac:dyDescent="0.25">
      <c r="E152" s="16"/>
    </row>
  </sheetData>
  <mergeCells count="148">
    <mergeCell ref="F1:I1"/>
    <mergeCell ref="C129:C130"/>
    <mergeCell ref="D129:D130"/>
    <mergeCell ref="C131:C133"/>
    <mergeCell ref="D131:D133"/>
    <mergeCell ref="A134:E134"/>
    <mergeCell ref="A135:E135"/>
    <mergeCell ref="C122:C123"/>
    <mergeCell ref="D122:D123"/>
    <mergeCell ref="C124:C126"/>
    <mergeCell ref="D124:D126"/>
    <mergeCell ref="A127:E127"/>
    <mergeCell ref="A128:I128"/>
    <mergeCell ref="C115:C117"/>
    <mergeCell ref="D115:D117"/>
    <mergeCell ref="C118:C119"/>
    <mergeCell ref="D118:D119"/>
    <mergeCell ref="C120:C121"/>
    <mergeCell ref="D120:D121"/>
    <mergeCell ref="C104:C106"/>
    <mergeCell ref="D104:D106"/>
    <mergeCell ref="E104:E106"/>
    <mergeCell ref="C107:C110"/>
    <mergeCell ref="D107:D110"/>
    <mergeCell ref="C111:C114"/>
    <mergeCell ref="D111:D114"/>
    <mergeCell ref="C96:C99"/>
    <mergeCell ref="D96:D99"/>
    <mergeCell ref="C100:C101"/>
    <mergeCell ref="D100:D101"/>
    <mergeCell ref="C102:C103"/>
    <mergeCell ref="D102:D103"/>
    <mergeCell ref="A89:E89"/>
    <mergeCell ref="A90:I90"/>
    <mergeCell ref="C91:C93"/>
    <mergeCell ref="D91:D93"/>
    <mergeCell ref="E91:E93"/>
    <mergeCell ref="C94:C95"/>
    <mergeCell ref="D94:D95"/>
    <mergeCell ref="C75:C76"/>
    <mergeCell ref="D75:D76"/>
    <mergeCell ref="C77:C79"/>
    <mergeCell ref="C80:C82"/>
    <mergeCell ref="C83:C85"/>
    <mergeCell ref="C86:C88"/>
    <mergeCell ref="I69:I70"/>
    <mergeCell ref="A71:A72"/>
    <mergeCell ref="B71:B72"/>
    <mergeCell ref="I71:I72"/>
    <mergeCell ref="A73:A74"/>
    <mergeCell ref="B73:B74"/>
    <mergeCell ref="I73:I74"/>
    <mergeCell ref="C67:C68"/>
    <mergeCell ref="D67:D68"/>
    <mergeCell ref="A69:A70"/>
    <mergeCell ref="B69:B70"/>
    <mergeCell ref="C69:C74"/>
    <mergeCell ref="D69:D74"/>
    <mergeCell ref="C58:C60"/>
    <mergeCell ref="D58:D60"/>
    <mergeCell ref="C61:C63"/>
    <mergeCell ref="D61:D63"/>
    <mergeCell ref="A64:I64"/>
    <mergeCell ref="C65:C66"/>
    <mergeCell ref="D65:D66"/>
    <mergeCell ref="C49:C51"/>
    <mergeCell ref="D49:D51"/>
    <mergeCell ref="C52:C54"/>
    <mergeCell ref="D52:D54"/>
    <mergeCell ref="C55:C57"/>
    <mergeCell ref="D55:D57"/>
    <mergeCell ref="I42:I43"/>
    <mergeCell ref="A44:A45"/>
    <mergeCell ref="B44:B45"/>
    <mergeCell ref="I44:I45"/>
    <mergeCell ref="C46:C48"/>
    <mergeCell ref="D46:D48"/>
    <mergeCell ref="A38:A39"/>
    <mergeCell ref="B38:B39"/>
    <mergeCell ref="C38:C45"/>
    <mergeCell ref="D38:D45"/>
    <mergeCell ref="I38:I39"/>
    <mergeCell ref="A40:A41"/>
    <mergeCell ref="B40:B41"/>
    <mergeCell ref="I40:I41"/>
    <mergeCell ref="A42:A43"/>
    <mergeCell ref="B42:B43"/>
    <mergeCell ref="B32:B33"/>
    <mergeCell ref="I32:I33"/>
    <mergeCell ref="A34:A35"/>
    <mergeCell ref="B34:B35"/>
    <mergeCell ref="I34:I35"/>
    <mergeCell ref="A36:A37"/>
    <mergeCell ref="B36:B37"/>
    <mergeCell ref="I36:I37"/>
    <mergeCell ref="I26:I27"/>
    <mergeCell ref="A28:A29"/>
    <mergeCell ref="B28:B29"/>
    <mergeCell ref="I28:I29"/>
    <mergeCell ref="A30:A31"/>
    <mergeCell ref="B30:B31"/>
    <mergeCell ref="C30:C37"/>
    <mergeCell ref="D30:D37"/>
    <mergeCell ref="I30:I31"/>
    <mergeCell ref="A32:A33"/>
    <mergeCell ref="A22:A23"/>
    <mergeCell ref="B22:B23"/>
    <mergeCell ref="C22:C29"/>
    <mergeCell ref="D22:D29"/>
    <mergeCell ref="I22:I23"/>
    <mergeCell ref="A24:A25"/>
    <mergeCell ref="B24:B25"/>
    <mergeCell ref="I24:I25"/>
    <mergeCell ref="A26:A27"/>
    <mergeCell ref="B26:B27"/>
    <mergeCell ref="A18:A19"/>
    <mergeCell ref="B18:B19"/>
    <mergeCell ref="I18:I19"/>
    <mergeCell ref="A20:A21"/>
    <mergeCell ref="B20:B21"/>
    <mergeCell ref="I20:I21"/>
    <mergeCell ref="B12:B13"/>
    <mergeCell ref="I12:I13"/>
    <mergeCell ref="A14:A15"/>
    <mergeCell ref="B14:B15"/>
    <mergeCell ref="C14:C21"/>
    <mergeCell ref="D14:D21"/>
    <mergeCell ref="I14:I15"/>
    <mergeCell ref="A16:A17"/>
    <mergeCell ref="B16:B17"/>
    <mergeCell ref="I16:I17"/>
    <mergeCell ref="F3:I3"/>
    <mergeCell ref="A4:A6"/>
    <mergeCell ref="B4:B6"/>
    <mergeCell ref="C4:C6"/>
    <mergeCell ref="D4:D6"/>
    <mergeCell ref="E4:E6"/>
    <mergeCell ref="F4:I5"/>
    <mergeCell ref="A7:I7"/>
    <mergeCell ref="A8:A9"/>
    <mergeCell ref="B8:B9"/>
    <mergeCell ref="C8:C13"/>
    <mergeCell ref="D8:D13"/>
    <mergeCell ref="I8:I9"/>
    <mergeCell ref="A10:A11"/>
    <mergeCell ref="B10:B11"/>
    <mergeCell ref="I10:I11"/>
    <mergeCell ref="A12:A13"/>
  </mergeCells>
  <pageMargins left="0.23622047244094491" right="0.23622047244094491" top="0.74803149606299213" bottom="0.74803149606299213" header="0.31496062992125984" footer="0.31496062992125984"/>
  <pageSetup paperSize="9" scale="58" orientation="landscape" verticalDpi="1200" r:id="rId1"/>
  <rowBreaks count="1" manualBreakCount="1">
    <brk id="10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Полная </vt:lpstr>
      <vt:lpstr>приложение</vt:lpstr>
      <vt:lpstr>'Полная '!Область_печати</vt:lpstr>
      <vt:lpstr>приложение!Область_печати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2021-12-09T12:20:18Z</dcterms:modified>
</cp:coreProperties>
</file>